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CoRAHS January 2025" sheetId="1" r:id="rId4"/>
    <sheet state="visible" name="CoCoRAHS_February 2025" sheetId="2" r:id="rId5"/>
    <sheet state="visible" name="CoCoRAHS_March 2024" sheetId="3" r:id="rId6"/>
    <sheet state="visible" name="CoCoRAHS_April 2024" sheetId="4" r:id="rId7"/>
    <sheet state="visible" name="CoCoRAHS_May 2024" sheetId="5" r:id="rId8"/>
    <sheet state="visible" name="CoCoRAHS_June 2024" sheetId="6" r:id="rId9"/>
    <sheet state="visible" name="CoCoRAHS_July 2024" sheetId="7" r:id="rId10"/>
    <sheet state="visible" name="CoCoRAHS_August_2024" sheetId="8" r:id="rId11"/>
    <sheet state="visible" name="CoCoRAHS_September 2024" sheetId="9" r:id="rId12"/>
    <sheet state="visible" name="CoCoRAHS_October_2024" sheetId="10" r:id="rId13"/>
    <sheet state="visible" name="CoCoRAHS_November_2024" sheetId="11" r:id="rId14"/>
    <sheet state="visible" name="CoCoRAHS_December_2024" sheetId="12" r:id="rId15"/>
  </sheets>
  <definedNames/>
  <calcPr/>
  <extLst>
    <ext uri="GoogleSheetsCustomDataVersion2">
      <go:sheetsCustomData xmlns:go="http://customooxmlschemas.google.com/" r:id="rId16" roundtripDataChecksum="GMqcuCBSD3K+okGF2yANJLIP6asKW/94y6uIEHUXKiI="/>
    </ext>
  </extLst>
</workbook>
</file>

<file path=xl/sharedStrings.xml><?xml version="1.0" encoding="utf-8"?>
<sst xmlns="http://schemas.openxmlformats.org/spreadsheetml/2006/main" count="1641" uniqueCount="134">
  <si>
    <t xml:space="preserve">            Community Collaborative Rain, Hail and Snow Network (CoCoRAHS)</t>
  </si>
  <si>
    <t>January 2025</t>
  </si>
  <si>
    <t>Ave. Total Precip.</t>
  </si>
  <si>
    <t># Stations</t>
  </si>
  <si>
    <t>Autauga</t>
  </si>
  <si>
    <t>Houston</t>
  </si>
  <si>
    <t>Normal January Precipitation*</t>
  </si>
  <si>
    <t>Baldwin</t>
  </si>
  <si>
    <t>Jackson</t>
  </si>
  <si>
    <t>Abbeville</t>
  </si>
  <si>
    <t>Barbour</t>
  </si>
  <si>
    <t>Jefferson</t>
  </si>
  <si>
    <t>Alberta</t>
  </si>
  <si>
    <t xml:space="preserve">Bibb </t>
  </si>
  <si>
    <t>n.a.</t>
  </si>
  <si>
    <t>Lamar</t>
  </si>
  <si>
    <t>Alex City</t>
  </si>
  <si>
    <t xml:space="preserve">Blount </t>
  </si>
  <si>
    <t>Lauderdale</t>
  </si>
  <si>
    <t>Aliceville</t>
  </si>
  <si>
    <t>Bullock</t>
  </si>
  <si>
    <t>Lawrence</t>
  </si>
  <si>
    <t>Andalusia</t>
  </si>
  <si>
    <t>Butler</t>
  </si>
  <si>
    <t>Lee</t>
  </si>
  <si>
    <t>Ashland</t>
  </si>
  <si>
    <t>Calhoun</t>
  </si>
  <si>
    <t>Limestone</t>
  </si>
  <si>
    <t>Athens</t>
  </si>
  <si>
    <t>Chambers</t>
  </si>
  <si>
    <t>Lowndes</t>
  </si>
  <si>
    <t>Bay Minette</t>
  </si>
  <si>
    <t>Cherokee</t>
  </si>
  <si>
    <t>Macon</t>
  </si>
  <si>
    <t>Bessemer</t>
  </si>
  <si>
    <t>Chilton</t>
  </si>
  <si>
    <t>Madison</t>
  </si>
  <si>
    <t>Billingsly</t>
  </si>
  <si>
    <t>Choctaw</t>
  </si>
  <si>
    <t>Marengo</t>
  </si>
  <si>
    <t>Centreville WSMO</t>
  </si>
  <si>
    <t>Clarke</t>
  </si>
  <si>
    <t>Marion</t>
  </si>
  <si>
    <t>Chatom</t>
  </si>
  <si>
    <t>Clay</t>
  </si>
  <si>
    <t>Marshall</t>
  </si>
  <si>
    <t>Claiborne L&amp;D</t>
  </si>
  <si>
    <t>Cleburne</t>
  </si>
  <si>
    <t>Mobile</t>
  </si>
  <si>
    <t>Clayton</t>
  </si>
  <si>
    <t>Coffee</t>
  </si>
  <si>
    <t>Monroe</t>
  </si>
  <si>
    <t>Dauphin Isl.</t>
  </si>
  <si>
    <t>Colbert</t>
  </si>
  <si>
    <t>Montgomery</t>
  </si>
  <si>
    <t>Elba</t>
  </si>
  <si>
    <t>Conecuh</t>
  </si>
  <si>
    <t>Morgan</t>
  </si>
  <si>
    <t>Eufaula WR</t>
  </si>
  <si>
    <t>Coosa</t>
  </si>
  <si>
    <t>Perry</t>
  </si>
  <si>
    <t>Evergreen</t>
  </si>
  <si>
    <t xml:space="preserve">Covington </t>
  </si>
  <si>
    <t>Pickens</t>
  </si>
  <si>
    <t>Fayette</t>
  </si>
  <si>
    <t>Crenshaw</t>
  </si>
  <si>
    <t>Pike</t>
  </si>
  <si>
    <t>Geneva 2</t>
  </si>
  <si>
    <t>Cullman</t>
  </si>
  <si>
    <t>Randolph</t>
  </si>
  <si>
    <t>Greenville</t>
  </si>
  <si>
    <t>Dale</t>
  </si>
  <si>
    <t>Russell</t>
  </si>
  <si>
    <t>Haleyville</t>
  </si>
  <si>
    <t>Dallas</t>
  </si>
  <si>
    <t>St. Clair</t>
  </si>
  <si>
    <t>Hamilton 3S</t>
  </si>
  <si>
    <t>DeKalb</t>
  </si>
  <si>
    <t>Shelby</t>
  </si>
  <si>
    <t>Heflin</t>
  </si>
  <si>
    <t>Elmore</t>
  </si>
  <si>
    <t>Sumter</t>
  </si>
  <si>
    <t>Hurtsboro</t>
  </si>
  <si>
    <t>Escambia</t>
  </si>
  <si>
    <t>Talladega</t>
  </si>
  <si>
    <t>Jasper</t>
  </si>
  <si>
    <t>Etowah</t>
  </si>
  <si>
    <t>Tallapoosa</t>
  </si>
  <si>
    <t>Lafayette</t>
  </si>
  <si>
    <t>Tuscaloosa</t>
  </si>
  <si>
    <t>Livingston</t>
  </si>
  <si>
    <t>Franklin</t>
  </si>
  <si>
    <t>Walker</t>
  </si>
  <si>
    <t>Melvin</t>
  </si>
  <si>
    <t>Geneva</t>
  </si>
  <si>
    <t>Washington</t>
  </si>
  <si>
    <t>Milstead</t>
  </si>
  <si>
    <t>Greene</t>
  </si>
  <si>
    <t>Wilcox</t>
  </si>
  <si>
    <t>Moulton</t>
  </si>
  <si>
    <t>Hale</t>
  </si>
  <si>
    <t>Winston</t>
  </si>
  <si>
    <t>Oneonta</t>
  </si>
  <si>
    <t>Henry</t>
  </si>
  <si>
    <t>Perryville</t>
  </si>
  <si>
    <t>Plantersville</t>
  </si>
  <si>
    <t>Rock Mills</t>
  </si>
  <si>
    <t>Rockford</t>
  </si>
  <si>
    <t>Sylacauga</t>
  </si>
  <si>
    <t>Union Springs</t>
  </si>
  <si>
    <t>Uniontown</t>
  </si>
  <si>
    <t>Vernon</t>
  </si>
  <si>
    <t>Warrior L&amp;D</t>
  </si>
  <si>
    <t>Wetumpka</t>
  </si>
  <si>
    <t>February 2025</t>
  </si>
  <si>
    <t>Normal February Precipitation*</t>
  </si>
  <si>
    <t>March 2024</t>
  </si>
  <si>
    <t>Normal March Precipitation*</t>
  </si>
  <si>
    <t>April 2024</t>
  </si>
  <si>
    <t>May 2024</t>
  </si>
  <si>
    <t>Normal May Precipitation*</t>
  </si>
  <si>
    <t>June 2024</t>
  </si>
  <si>
    <t>Normal June Precipitation*</t>
  </si>
  <si>
    <t>July 2024</t>
  </si>
  <si>
    <t>Normal July Precipitation*</t>
  </si>
  <si>
    <t>August 2024</t>
  </si>
  <si>
    <t>Normal August Precipitation*</t>
  </si>
  <si>
    <t>September 2024</t>
  </si>
  <si>
    <t>Normal Precipitation*</t>
  </si>
  <si>
    <t>October 2024</t>
  </si>
  <si>
    <t>November 2024</t>
  </si>
  <si>
    <t>Normal November Precipitation*</t>
  </si>
  <si>
    <t>December 2024</t>
  </si>
  <si>
    <t>Normal December Precipitation*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</si>
</sst>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Calibri"/>
      <scheme val="minor"/>
    </font>
    <font>
      <sz val="11.0"/>
      <color rgb="FF000000"/>
      <name val="Calibri"/>
    </font>
    <font>
      <color theme="1"/>
      <name val="Calibri"/>
      <scheme val="minor"/>
    </font>
    <font>
      <i/>
      <sz val="11.0"/>
      <color rgb="FF000000"/>
      <name val="Calibri"/>
    </font>
    <font/>
  </fonts>
  <fills count="5">
    <fill>
      <patternFill patternType="none"/>
    </fill>
    <fill>
      <patternFill patternType="lightGray"/>
    </fill>
    <fill>
      <patternFill patternType="solid">
        <fgColor rgb="FFFADDB6"/>
        <bgColor rgb="FFFADDB6"/>
      </patternFill>
    </fill>
    <fill>
      <patternFill patternType="solid">
        <fgColor theme="0"/>
        <bgColor theme="0"/>
      </patternFill>
    </fill>
    <fill>
      <patternFill patternType="solid">
        <fgColor rgb="FFFBD4B4"/>
        <bgColor rgb="FFFBD4B4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49" xfId="0" applyAlignment="1" applyFont="1" applyNumberFormat="1">
      <alignment horizontal="center" readingOrder="0"/>
    </xf>
    <xf borderId="0" fillId="0" fontId="1" numFmtId="2" xfId="0" applyAlignment="1" applyFont="1" applyNumberFormat="1">
      <alignment horizontal="right" shrinkToFit="0" wrapText="1"/>
    </xf>
    <xf borderId="0" fillId="0" fontId="1" numFmtId="2" xfId="0" applyAlignment="1" applyFont="1" applyNumberFormat="1">
      <alignment horizontal="center" shrinkToFit="0" wrapText="1"/>
    </xf>
    <xf borderId="0" fillId="0" fontId="2" numFmtId="0" xfId="0" applyFont="1"/>
    <xf borderId="1" fillId="0" fontId="1" numFmtId="2" xfId="0" applyAlignment="1" applyBorder="1" applyFont="1" applyNumberFormat="1">
      <alignment horizontal="right" readingOrder="0"/>
    </xf>
    <xf borderId="1" fillId="0" fontId="1" numFmtId="0" xfId="0" applyAlignment="1" applyBorder="1" applyFont="1">
      <alignment readingOrder="0"/>
    </xf>
    <xf borderId="1" fillId="0" fontId="1" numFmtId="2" xfId="0" applyBorder="1" applyFont="1" applyNumberFormat="1"/>
    <xf borderId="0" fillId="0" fontId="1" numFmtId="0" xfId="0" applyAlignment="1" applyFont="1">
      <alignment horizontal="center" shrinkToFit="0" wrapText="1"/>
    </xf>
    <xf borderId="1" fillId="2" fontId="1" numFmtId="2" xfId="0" applyAlignment="1" applyBorder="1" applyFill="1" applyFont="1" applyNumberFormat="1">
      <alignment horizontal="right"/>
    </xf>
    <xf borderId="1" fillId="2" fontId="1" numFmtId="0" xfId="0" applyAlignment="1" applyBorder="1" applyFont="1">
      <alignment readingOrder="0"/>
    </xf>
    <xf borderId="1" fillId="2" fontId="1" numFmtId="2" xfId="0" applyBorder="1" applyFont="1" applyNumberFormat="1"/>
    <xf borderId="1" fillId="0" fontId="1" numFmtId="0" xfId="0" applyBorder="1" applyFont="1"/>
    <xf borderId="1" fillId="3" fontId="1" numFmtId="2" xfId="0" applyAlignment="1" applyBorder="1" applyFill="1" applyFont="1" applyNumberFormat="1">
      <alignment readingOrder="0"/>
    </xf>
    <xf borderId="1" fillId="3" fontId="1" numFmtId="0" xfId="0" applyAlignment="1" applyBorder="1" applyFont="1">
      <alignment readingOrder="0"/>
    </xf>
    <xf borderId="1" fillId="0" fontId="1" numFmtId="2" xfId="0" applyAlignment="1" applyBorder="1" applyFont="1" applyNumberFormat="1">
      <alignment horizontal="right"/>
    </xf>
    <xf borderId="1" fillId="2" fontId="1" numFmtId="2" xfId="0" applyAlignment="1" applyBorder="1" applyFont="1" applyNumberFormat="1">
      <alignment horizontal="right" readingOrder="0"/>
    </xf>
    <xf borderId="1" fillId="0" fontId="1" numFmtId="2" xfId="0" applyAlignment="1" applyBorder="1" applyFont="1" applyNumberFormat="1">
      <alignment readingOrder="0"/>
    </xf>
    <xf borderId="1" fillId="2" fontId="1" numFmtId="2" xfId="0" applyAlignment="1" applyBorder="1" applyFont="1" applyNumberFormat="1">
      <alignment readingOrder="0"/>
    </xf>
    <xf borderId="1" fillId="3" fontId="1" numFmtId="2" xfId="0" applyBorder="1" applyFont="1" applyNumberFormat="1"/>
    <xf borderId="0" fillId="0" fontId="1" numFmtId="0" xfId="0" applyAlignment="1" applyFont="1">
      <alignment horizontal="right"/>
    </xf>
    <xf borderId="1" fillId="3" fontId="1" numFmtId="2" xfId="0" applyAlignment="1" applyBorder="1" applyFont="1" applyNumberFormat="1">
      <alignment horizontal="center" readingOrder="0"/>
    </xf>
    <xf borderId="1" fillId="0" fontId="1" numFmtId="0" xfId="0" applyAlignment="1" applyBorder="1" applyFont="1">
      <alignment horizontal="center" readingOrder="0"/>
    </xf>
    <xf borderId="1" fillId="0" fontId="1" numFmtId="2" xfId="0" applyAlignment="1" applyBorder="1" applyFont="1" applyNumberFormat="1">
      <alignment horizontal="center"/>
    </xf>
    <xf borderId="1" fillId="2" fontId="1" numFmtId="2" xfId="0" applyAlignment="1" applyBorder="1" applyFont="1" applyNumberFormat="1">
      <alignment horizontal="center"/>
    </xf>
    <xf borderId="1" fillId="2" fontId="1" numFmtId="0" xfId="0" applyAlignment="1" applyBorder="1" applyFont="1">
      <alignment horizontal="center" readingOrder="0"/>
    </xf>
    <xf borderId="1" fillId="2" fontId="1" numFmtId="2" xfId="0" applyAlignment="1" applyBorder="1" applyFont="1" applyNumberFormat="1">
      <alignment horizontal="center" readingOrder="0"/>
    </xf>
    <xf borderId="1" fillId="0" fontId="1" numFmtId="2" xfId="0" applyAlignment="1" applyBorder="1" applyFont="1" applyNumberFormat="1">
      <alignment horizontal="center" readingOrder="0"/>
    </xf>
    <xf borderId="1" fillId="3" fontId="1" numFmtId="2" xfId="0" applyAlignment="1" applyBorder="1" applyFont="1" applyNumberFormat="1">
      <alignment horizontal="center"/>
    </xf>
    <xf borderId="2" fillId="3" fontId="1" numFmtId="0" xfId="0" applyBorder="1" applyFont="1"/>
    <xf borderId="1" fillId="4" fontId="1" numFmtId="2" xfId="0" applyAlignment="1" applyBorder="1" applyFill="1" applyFont="1" applyNumberFormat="1">
      <alignment horizontal="center"/>
    </xf>
    <xf borderId="1" fillId="4" fontId="1" numFmtId="0" xfId="0" applyAlignment="1" applyBorder="1" applyFont="1">
      <alignment horizontal="center" readingOrder="0"/>
    </xf>
    <xf borderId="1" fillId="4" fontId="1" numFmtId="2" xfId="0" applyAlignment="1" applyBorder="1" applyFont="1" applyNumberFormat="1">
      <alignment horizontal="center" readingOrder="0"/>
    </xf>
    <xf borderId="0" fillId="0" fontId="2" numFmtId="10" xfId="0" applyFont="1" applyNumberFormat="1"/>
    <xf borderId="0" fillId="0" fontId="3" numFmtId="0" xfId="0" applyAlignment="1" applyFont="1">
      <alignment horizontal="center"/>
    </xf>
    <xf borderId="3" fillId="0" fontId="1" numFmtId="0" xfId="0" applyAlignment="1" applyBorder="1" applyFont="1">
      <alignment horizontal="center" shrinkToFit="0" wrapText="1"/>
    </xf>
    <xf borderId="3" fillId="0" fontId="4" numFmtId="0" xfId="0" applyBorder="1" applyFont="1"/>
    <xf borderId="1" fillId="3" fontId="1" numFmtId="2" xfId="0" applyAlignment="1" applyBorder="1" applyFont="1" applyNumberFormat="1">
      <alignment horizontal="right" readingOrder="0"/>
    </xf>
    <xf borderId="1" fillId="3" fontId="1" numFmtId="2" xfId="0" applyAlignment="1" applyBorder="1" applyFont="1" applyNumberFormat="1">
      <alignment horizontal="right"/>
    </xf>
    <xf borderId="1" fillId="0" fontId="1" numFmtId="0" xfId="0" applyAlignment="1" applyBorder="1" applyFont="1">
      <alignment horizontal="right" readingOrder="0"/>
    </xf>
    <xf borderId="1" fillId="2" fontId="1" numFmtId="0" xfId="0" applyAlignment="1" applyBorder="1" applyFont="1">
      <alignment horizontal="right" readingOrder="0"/>
    </xf>
    <xf borderId="1" fillId="4" fontId="1" numFmtId="2" xfId="0" applyAlignment="1" applyBorder="1" applyFont="1" applyNumberFormat="1">
      <alignment horizontal="right"/>
    </xf>
    <xf borderId="1" fillId="4" fontId="1" numFmtId="0" xfId="0" applyAlignment="1" applyBorder="1" applyFont="1">
      <alignment readingOrder="0"/>
    </xf>
    <xf borderId="1" fillId="4" fontId="1" numFmtId="2" xfId="0" applyAlignment="1" applyBorder="1" applyFont="1" applyNumberFormat="1">
      <alignment readingOrder="0"/>
    </xf>
    <xf borderId="1" fillId="4" fontId="1" numFmtId="2" xfId="0" applyAlignment="1" applyBorder="1" applyFont="1" applyNumberFormat="1">
      <alignment horizontal="right" readingOrder="0"/>
    </xf>
    <xf borderId="1" fillId="3" fontId="1" numFmtId="0" xfId="0" applyAlignment="1" applyBorder="1" applyFont="1">
      <alignment horizontal="righ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6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43"/>
    <col customWidth="1" min="2" max="2" width="17.0"/>
    <col customWidth="1" min="3" max="3" width="13.86"/>
    <col customWidth="1" min="4" max="4" width="8.71"/>
    <col customWidth="1" min="5" max="5" width="13.0"/>
    <col customWidth="1" min="6" max="6" width="17.29"/>
    <col customWidth="1" min="7" max="7" width="12.43"/>
    <col customWidth="1" min="8" max="8" width="17.0"/>
    <col customWidth="1" min="9" max="9" width="17.57"/>
    <col customWidth="1" min="10" max="26" width="8.71"/>
  </cols>
  <sheetData>
    <row r="1">
      <c r="A1" s="1" t="s">
        <v>0</v>
      </c>
    </row>
    <row r="2">
      <c r="A2" s="2" t="s">
        <v>1</v>
      </c>
    </row>
    <row r="3">
      <c r="B3" s="3" t="s">
        <v>2</v>
      </c>
      <c r="C3" s="1" t="s">
        <v>3</v>
      </c>
      <c r="F3" s="4" t="s">
        <v>2</v>
      </c>
      <c r="G3" s="1" t="s">
        <v>3</v>
      </c>
    </row>
    <row r="4">
      <c r="A4" s="5" t="s">
        <v>4</v>
      </c>
      <c r="B4" s="6">
        <v>1.27</v>
      </c>
      <c r="C4" s="7">
        <v>1.0</v>
      </c>
      <c r="E4" s="5" t="s">
        <v>5</v>
      </c>
      <c r="F4" s="8">
        <f>(3.7+4.28+2.27)/3</f>
        <v>3.416666667</v>
      </c>
      <c r="G4" s="7">
        <v>3.0</v>
      </c>
      <c r="I4" s="9" t="s">
        <v>6</v>
      </c>
    </row>
    <row r="5">
      <c r="A5" s="5" t="s">
        <v>7</v>
      </c>
      <c r="B5" s="10">
        <f>(3.59+4.25+3.87+3.7+4.26+2.45+0+3.94+3.37+3.79+2.77+3.58+3.6+4.12+3.05+3.03+4.35+2.62+3.27+2.31+3.73+2.72+3.49+3.44+2.45+3.62+4.51+4.23+3.64+3.6+3.58+4.81+2.55+3.57+3.41+3.8+3.46+2.96+3.72+0.06+3.95+3.66+4.13+3.82)/44</f>
        <v>3.3825</v>
      </c>
      <c r="C5" s="11">
        <v>44.0</v>
      </c>
      <c r="E5" s="5" t="s">
        <v>8</v>
      </c>
      <c r="F5" s="12">
        <f>(3.09+3.23+1.21+2.68+2.46)/5</f>
        <v>2.534</v>
      </c>
      <c r="G5" s="11">
        <v>5.0</v>
      </c>
      <c r="I5" s="13" t="s">
        <v>9</v>
      </c>
      <c r="J5" s="8">
        <v>5.3</v>
      </c>
    </row>
    <row r="6">
      <c r="A6" s="5" t="s">
        <v>10</v>
      </c>
      <c r="B6" s="10">
        <f>(0+2.23)/2</f>
        <v>1.115</v>
      </c>
      <c r="C6" s="11">
        <v>2.0</v>
      </c>
      <c r="E6" s="5" t="s">
        <v>11</v>
      </c>
      <c r="F6" s="12">
        <f>(2.38+2+2.62+0.76+2.47+1.8+2.14+2.76+2.96+2.82+2.8+3.24+2.53+2.84)/14</f>
        <v>2.437142857</v>
      </c>
      <c r="G6" s="11">
        <v>14.0</v>
      </c>
      <c r="I6" s="13" t="s">
        <v>12</v>
      </c>
      <c r="J6" s="8">
        <v>4.84</v>
      </c>
    </row>
    <row r="7">
      <c r="A7" s="5" t="s">
        <v>13</v>
      </c>
      <c r="B7" s="6" t="s">
        <v>14</v>
      </c>
      <c r="C7" s="7">
        <v>0.0</v>
      </c>
      <c r="E7" s="5" t="s">
        <v>15</v>
      </c>
      <c r="F7" s="14">
        <v>3.01</v>
      </c>
      <c r="G7" s="15">
        <v>1.0</v>
      </c>
      <c r="I7" s="13" t="s">
        <v>16</v>
      </c>
      <c r="J7" s="8">
        <v>5.69</v>
      </c>
    </row>
    <row r="8">
      <c r="A8" s="5" t="s">
        <v>17</v>
      </c>
      <c r="B8" s="16">
        <f>(2.78+2.68+3.41+1.13+3.01+3.88)/6</f>
        <v>2.815</v>
      </c>
      <c r="C8" s="7">
        <v>6.0</v>
      </c>
      <c r="E8" s="5" t="s">
        <v>18</v>
      </c>
      <c r="F8" s="8">
        <f>(4.01+4.46+3.21+3.99+3.02+4.34+3.72)/7</f>
        <v>3.821428571</v>
      </c>
      <c r="G8" s="7">
        <v>7.0</v>
      </c>
      <c r="I8" s="13" t="s">
        <v>19</v>
      </c>
      <c r="J8" s="8">
        <v>5.3</v>
      </c>
    </row>
    <row r="9">
      <c r="A9" s="5" t="s">
        <v>20</v>
      </c>
      <c r="B9" s="17" t="s">
        <v>14</v>
      </c>
      <c r="C9" s="11">
        <v>0.0</v>
      </c>
      <c r="E9" s="5" t="s">
        <v>21</v>
      </c>
      <c r="F9" s="12">
        <f>(3.77+3.89)/2</f>
        <v>3.83</v>
      </c>
      <c r="G9" s="11">
        <v>2.0</v>
      </c>
      <c r="I9" s="13" t="s">
        <v>22</v>
      </c>
      <c r="J9" s="8">
        <v>5.17</v>
      </c>
    </row>
    <row r="10">
      <c r="A10" s="5" t="s">
        <v>23</v>
      </c>
      <c r="B10" s="17">
        <f>(1.3+3.15+3.27+3.7+3.41)/5</f>
        <v>2.966</v>
      </c>
      <c r="C10" s="11">
        <v>5.0</v>
      </c>
      <c r="E10" s="5" t="s">
        <v>24</v>
      </c>
      <c r="F10" s="12">
        <f>(3.29+3.38+2.81+3.98+0.09)/5</f>
        <v>2.71</v>
      </c>
      <c r="G10" s="11">
        <v>5.0</v>
      </c>
      <c r="I10" s="13" t="s">
        <v>25</v>
      </c>
      <c r="J10" s="8">
        <v>5.48</v>
      </c>
    </row>
    <row r="11">
      <c r="A11" s="5" t="s">
        <v>26</v>
      </c>
      <c r="B11" s="16">
        <f>(2.84+1.43+2.9+0.64)/4</f>
        <v>1.9525</v>
      </c>
      <c r="C11" s="7">
        <v>4.0</v>
      </c>
      <c r="E11" s="5" t="s">
        <v>27</v>
      </c>
      <c r="F11" s="8">
        <f>(4.43+4.19+4.25+4.26+4.36+3.49+1.51+2.91+1.7+1.26)/10</f>
        <v>3.236</v>
      </c>
      <c r="G11" s="7">
        <v>10.0</v>
      </c>
      <c r="I11" s="13" t="s">
        <v>28</v>
      </c>
      <c r="J11" s="8">
        <v>6.06</v>
      </c>
    </row>
    <row r="12">
      <c r="A12" s="5" t="s">
        <v>29</v>
      </c>
      <c r="B12" s="6" t="s">
        <v>14</v>
      </c>
      <c r="C12" s="7">
        <v>0.0</v>
      </c>
      <c r="E12" s="5" t="s">
        <v>30</v>
      </c>
      <c r="F12" s="6" t="s">
        <v>14</v>
      </c>
      <c r="G12" s="7">
        <v>0.0</v>
      </c>
      <c r="I12" s="13" t="s">
        <v>31</v>
      </c>
      <c r="J12" s="8">
        <v>5.43</v>
      </c>
    </row>
    <row r="13">
      <c r="A13" s="5" t="s">
        <v>32</v>
      </c>
      <c r="B13" s="17">
        <v>1.63</v>
      </c>
      <c r="C13" s="11">
        <v>1.0</v>
      </c>
      <c r="E13" s="5" t="s">
        <v>33</v>
      </c>
      <c r="F13" s="17" t="s">
        <v>14</v>
      </c>
      <c r="G13" s="11">
        <v>0.0</v>
      </c>
      <c r="I13" s="13" t="s">
        <v>34</v>
      </c>
      <c r="J13" s="8">
        <v>5.34</v>
      </c>
    </row>
    <row r="14">
      <c r="A14" s="5" t="s">
        <v>35</v>
      </c>
      <c r="B14" s="17">
        <v>3.51</v>
      </c>
      <c r="C14" s="11">
        <v>1.0</v>
      </c>
      <c r="E14" s="5" t="s">
        <v>36</v>
      </c>
      <c r="F14" s="12">
        <f>(3.94+4.5+3.22+3.42+3.49+3.9+3.87+5.01+3.63+2.75+4.02+3.36+4.58+3.69+4.08+3.88+3.49+3.83+4.53+4.5+4.31+4.18+3.71+2.89+3.57+2.23+0.9+4.03+2.8+1.79)/30</f>
        <v>3.603333333</v>
      </c>
      <c r="G14" s="11">
        <v>30.0</v>
      </c>
      <c r="I14" s="13" t="s">
        <v>37</v>
      </c>
      <c r="J14" s="8">
        <v>4.98</v>
      </c>
    </row>
    <row r="15">
      <c r="A15" s="5" t="s">
        <v>38</v>
      </c>
      <c r="B15" s="6">
        <v>3.89</v>
      </c>
      <c r="C15" s="7">
        <v>1.0</v>
      </c>
      <c r="E15" s="5" t="s">
        <v>39</v>
      </c>
      <c r="F15" s="6" t="s">
        <v>14</v>
      </c>
      <c r="G15" s="7">
        <v>0.0</v>
      </c>
      <c r="I15" s="13" t="s">
        <v>40</v>
      </c>
      <c r="J15" s="8">
        <v>5.63</v>
      </c>
    </row>
    <row r="16">
      <c r="A16" s="5" t="s">
        <v>41</v>
      </c>
      <c r="B16" s="16">
        <f>(3.17+3.49+3.45)/3</f>
        <v>3.37</v>
      </c>
      <c r="C16" s="7">
        <v>3.0</v>
      </c>
      <c r="E16" s="5" t="s">
        <v>42</v>
      </c>
      <c r="F16" s="18">
        <v>4.29</v>
      </c>
      <c r="G16" s="7">
        <v>1.0</v>
      </c>
      <c r="I16" s="13" t="s">
        <v>43</v>
      </c>
      <c r="J16" s="8">
        <v>5.45</v>
      </c>
    </row>
    <row r="17">
      <c r="A17" s="5" t="s">
        <v>44</v>
      </c>
      <c r="B17" s="17">
        <v>2.72</v>
      </c>
      <c r="C17" s="11">
        <v>1.0</v>
      </c>
      <c r="E17" s="5" t="s">
        <v>45</v>
      </c>
      <c r="F17" s="12">
        <f>(3.27+3.08+3.04+2.85+1.59+3.24+2.56+5.1+2.79+3.31)/10</f>
        <v>3.083</v>
      </c>
      <c r="G17" s="11">
        <v>10.0</v>
      </c>
      <c r="I17" s="13" t="s">
        <v>46</v>
      </c>
      <c r="J17" s="8">
        <v>5.49</v>
      </c>
    </row>
    <row r="18">
      <c r="A18" s="5" t="s">
        <v>47</v>
      </c>
      <c r="B18" s="17" t="s">
        <v>14</v>
      </c>
      <c r="C18" s="11">
        <v>0.0</v>
      </c>
      <c r="E18" s="5" t="s">
        <v>48</v>
      </c>
      <c r="F18" s="12">
        <f>(4.04+4.3+3.31+4.65+0.23+4.44+4.69+4+0+3.9+4.06+4.09+3.36+4.39+4.58+2.89+3.25+3.41+3.71+4.28+3.97+3.91+3.24+4.4+3.27+3.21)/26</f>
        <v>3.599230769</v>
      </c>
      <c r="G18" s="11">
        <v>26.0</v>
      </c>
      <c r="I18" s="13" t="s">
        <v>49</v>
      </c>
      <c r="J18" s="8">
        <v>4.91</v>
      </c>
    </row>
    <row r="19">
      <c r="A19" s="5" t="s">
        <v>50</v>
      </c>
      <c r="B19" s="6" t="s">
        <v>14</v>
      </c>
      <c r="C19" s="7">
        <v>0.0</v>
      </c>
      <c r="E19" s="5" t="s">
        <v>51</v>
      </c>
      <c r="F19" s="8">
        <f>(3.43+3.25+3.14+3.38)/4</f>
        <v>3.3</v>
      </c>
      <c r="G19" s="7">
        <v>4.0</v>
      </c>
      <c r="I19" s="13" t="s">
        <v>52</v>
      </c>
      <c r="J19" s="8">
        <v>5.86</v>
      </c>
    </row>
    <row r="20">
      <c r="A20" s="5" t="s">
        <v>53</v>
      </c>
      <c r="B20" s="16">
        <f>(4.06+4.16+3.33+3.83)/4</f>
        <v>3.845</v>
      </c>
      <c r="C20" s="7">
        <v>4.0</v>
      </c>
      <c r="E20" s="5" t="s">
        <v>54</v>
      </c>
      <c r="F20" s="8">
        <f>(3.62+2.55+3.05+3.14)/4</f>
        <v>3.09</v>
      </c>
      <c r="G20" s="7">
        <v>4.0</v>
      </c>
      <c r="I20" s="13" t="s">
        <v>55</v>
      </c>
      <c r="J20" s="8">
        <v>5.08</v>
      </c>
    </row>
    <row r="21" ht="15.75" customHeight="1">
      <c r="A21" s="5" t="s">
        <v>56</v>
      </c>
      <c r="B21" s="17" t="s">
        <v>14</v>
      </c>
      <c r="C21" s="11">
        <v>0.0</v>
      </c>
      <c r="E21" s="5" t="s">
        <v>57</v>
      </c>
      <c r="F21" s="12">
        <f>(2.88+3.42+3.52+3.88+2.38+3.67+2.67+2.99+3.51)/9</f>
        <v>3.213333333</v>
      </c>
      <c r="G21" s="11">
        <v>9.0</v>
      </c>
      <c r="I21" s="13" t="s">
        <v>58</v>
      </c>
      <c r="J21" s="8">
        <v>5.2</v>
      </c>
    </row>
    <row r="22" ht="15.75" customHeight="1">
      <c r="A22" s="5" t="s">
        <v>59</v>
      </c>
      <c r="B22" s="17" t="s">
        <v>14</v>
      </c>
      <c r="C22" s="11">
        <v>0.0</v>
      </c>
      <c r="E22" s="5" t="s">
        <v>60</v>
      </c>
      <c r="F22" s="17" t="s">
        <v>14</v>
      </c>
      <c r="G22" s="11">
        <v>0.0</v>
      </c>
      <c r="I22" s="13" t="s">
        <v>61</v>
      </c>
      <c r="J22" s="8">
        <v>5.55</v>
      </c>
    </row>
    <row r="23" ht="15.75" customHeight="1">
      <c r="A23" s="5" t="s">
        <v>62</v>
      </c>
      <c r="B23" s="6">
        <v>3.04</v>
      </c>
      <c r="C23" s="7">
        <v>1.0</v>
      </c>
      <c r="E23" s="5" t="s">
        <v>63</v>
      </c>
      <c r="F23" s="6" t="s">
        <v>14</v>
      </c>
      <c r="G23" s="7">
        <v>0.0</v>
      </c>
      <c r="I23" s="13" t="s">
        <v>64</v>
      </c>
      <c r="J23" s="8">
        <v>5.75</v>
      </c>
    </row>
    <row r="24" ht="15.75" customHeight="1">
      <c r="A24" s="5" t="s">
        <v>65</v>
      </c>
      <c r="B24" s="6" t="s">
        <v>14</v>
      </c>
      <c r="C24" s="7">
        <v>0.0</v>
      </c>
      <c r="E24" s="5" t="s">
        <v>66</v>
      </c>
      <c r="F24" s="6" t="s">
        <v>14</v>
      </c>
      <c r="G24" s="7">
        <v>0.0</v>
      </c>
      <c r="I24" s="13" t="s">
        <v>67</v>
      </c>
      <c r="J24" s="8">
        <v>6.43</v>
      </c>
    </row>
    <row r="25" ht="15.75" customHeight="1">
      <c r="A25" s="5" t="s">
        <v>68</v>
      </c>
      <c r="B25" s="10">
        <f>(2.12+1.89+2.99+1.05)/4</f>
        <v>2.0125</v>
      </c>
      <c r="C25" s="11">
        <v>4.0</v>
      </c>
      <c r="E25" s="5" t="s">
        <v>69</v>
      </c>
      <c r="F25" s="12">
        <f>(3.24+1.6)/2</f>
        <v>2.42</v>
      </c>
      <c r="G25" s="11">
        <v>2.0</v>
      </c>
      <c r="I25" s="13" t="s">
        <v>70</v>
      </c>
      <c r="J25" s="8">
        <v>4.98</v>
      </c>
    </row>
    <row r="26" ht="15.75" customHeight="1">
      <c r="A26" s="5" t="s">
        <v>71</v>
      </c>
      <c r="B26" s="17" t="s">
        <v>14</v>
      </c>
      <c r="C26" s="11">
        <v>0.0</v>
      </c>
      <c r="E26" s="5" t="s">
        <v>72</v>
      </c>
      <c r="F26" s="19">
        <v>2.52</v>
      </c>
      <c r="G26" s="11">
        <v>1.0</v>
      </c>
      <c r="I26" s="13" t="s">
        <v>73</v>
      </c>
      <c r="J26" s="8">
        <v>5.79</v>
      </c>
    </row>
    <row r="27" ht="15.75" customHeight="1">
      <c r="A27" s="5" t="s">
        <v>74</v>
      </c>
      <c r="B27" s="6">
        <v>3.34</v>
      </c>
      <c r="C27" s="7">
        <v>1.0</v>
      </c>
      <c r="E27" s="5" t="s">
        <v>75</v>
      </c>
      <c r="F27" s="8">
        <f>(1.73+1.97+2.64+2.56+2.77+1.76+1.83)/7</f>
        <v>2.18</v>
      </c>
      <c r="G27" s="7">
        <v>7.0</v>
      </c>
      <c r="I27" s="13" t="s">
        <v>76</v>
      </c>
      <c r="J27" s="8">
        <v>5.31</v>
      </c>
    </row>
    <row r="28" ht="15.75" customHeight="1">
      <c r="A28" s="5" t="s">
        <v>77</v>
      </c>
      <c r="B28" s="16">
        <f>(2.56+2.64+2.36+2.04+2.83+2.57)/6</f>
        <v>2.5</v>
      </c>
      <c r="C28" s="7">
        <v>6.0</v>
      </c>
      <c r="E28" s="5" t="s">
        <v>78</v>
      </c>
      <c r="F28" s="20">
        <f>(2.43+2.76+2.85+2.09+0+0.1+2.96+2.5+2.35+3.07+2.73+1.89+3.39+1.88+0.53+2.96+1.39)/17</f>
        <v>2.110588235</v>
      </c>
      <c r="G28" s="7">
        <v>17.0</v>
      </c>
      <c r="I28" s="13" t="s">
        <v>79</v>
      </c>
      <c r="J28" s="8">
        <v>5.31</v>
      </c>
    </row>
    <row r="29" ht="15.75" customHeight="1">
      <c r="A29" s="5" t="s">
        <v>80</v>
      </c>
      <c r="B29" s="10">
        <f>(3.26+3.03)/2</f>
        <v>3.145</v>
      </c>
      <c r="C29" s="11">
        <v>2.0</v>
      </c>
      <c r="E29" s="5" t="s">
        <v>81</v>
      </c>
      <c r="F29" s="17">
        <v>2.17</v>
      </c>
      <c r="G29" s="11">
        <v>1.0</v>
      </c>
      <c r="I29" s="13" t="s">
        <v>82</v>
      </c>
      <c r="J29" s="8">
        <v>4.89</v>
      </c>
    </row>
    <row r="30" ht="15.75" customHeight="1">
      <c r="A30" s="5" t="s">
        <v>83</v>
      </c>
      <c r="B30" s="10">
        <f>(3.03+3.01)/2</f>
        <v>3.02</v>
      </c>
      <c r="C30" s="11">
        <v>2.0</v>
      </c>
      <c r="E30" s="5" t="s">
        <v>84</v>
      </c>
      <c r="F30" s="12">
        <f>(2.26+2.89)/2</f>
        <v>2.575</v>
      </c>
      <c r="G30" s="11">
        <v>2.0</v>
      </c>
      <c r="I30" s="13" t="s">
        <v>85</v>
      </c>
      <c r="J30" s="8">
        <v>5.71</v>
      </c>
    </row>
    <row r="31" ht="15.75" customHeight="1">
      <c r="A31" s="5" t="s">
        <v>86</v>
      </c>
      <c r="B31" s="16">
        <f>(2.42+2.47)/2</f>
        <v>2.445</v>
      </c>
      <c r="C31" s="7">
        <v>2.0</v>
      </c>
      <c r="E31" s="5" t="s">
        <v>87</v>
      </c>
      <c r="F31" s="18">
        <v>2.87</v>
      </c>
      <c r="G31" s="7">
        <v>1.0</v>
      </c>
      <c r="I31" s="13" t="s">
        <v>88</v>
      </c>
      <c r="J31" s="8">
        <v>5.19</v>
      </c>
    </row>
    <row r="32" ht="15.75" customHeight="1">
      <c r="A32" s="5" t="s">
        <v>64</v>
      </c>
      <c r="B32" s="6">
        <v>4.58</v>
      </c>
      <c r="C32" s="7">
        <v>1.0</v>
      </c>
      <c r="E32" s="5" t="s">
        <v>89</v>
      </c>
      <c r="F32" s="8">
        <f>(3.34+2.38+3.24+3.12+3.68+0.76+2.48)/7</f>
        <v>2.714285714</v>
      </c>
      <c r="G32" s="7">
        <v>7.0</v>
      </c>
      <c r="I32" s="13" t="s">
        <v>90</v>
      </c>
      <c r="J32" s="8">
        <v>4.77</v>
      </c>
    </row>
    <row r="33" ht="15.75" customHeight="1">
      <c r="A33" s="5" t="s">
        <v>91</v>
      </c>
      <c r="B33" s="17" t="s">
        <v>14</v>
      </c>
      <c r="C33" s="11">
        <v>0.0</v>
      </c>
      <c r="E33" s="5" t="s">
        <v>92</v>
      </c>
      <c r="F33" s="10">
        <f>(4.68+0+3.3)/3</f>
        <v>2.66</v>
      </c>
      <c r="G33" s="11">
        <v>3.0</v>
      </c>
      <c r="I33" s="13" t="s">
        <v>93</v>
      </c>
      <c r="J33" s="8">
        <v>5.25</v>
      </c>
    </row>
    <row r="34" ht="15.75" customHeight="1">
      <c r="A34" s="5" t="s">
        <v>94</v>
      </c>
      <c r="B34" s="17" t="s">
        <v>14</v>
      </c>
      <c r="C34" s="11">
        <v>0.0</v>
      </c>
      <c r="E34" s="5" t="s">
        <v>95</v>
      </c>
      <c r="F34" s="19">
        <v>3.1</v>
      </c>
      <c r="G34" s="11">
        <v>1.0</v>
      </c>
      <c r="I34" s="13" t="s">
        <v>96</v>
      </c>
      <c r="J34" s="8">
        <v>4.85</v>
      </c>
    </row>
    <row r="35" ht="15.75" customHeight="1">
      <c r="A35" s="5" t="s">
        <v>97</v>
      </c>
      <c r="B35" s="6" t="s">
        <v>14</v>
      </c>
      <c r="C35" s="7">
        <v>0.0</v>
      </c>
      <c r="E35" s="5" t="s">
        <v>98</v>
      </c>
      <c r="F35" s="8">
        <f>(3.8+3.39)/2</f>
        <v>3.595</v>
      </c>
      <c r="G35" s="7">
        <v>2.0</v>
      </c>
      <c r="I35" s="13" t="s">
        <v>99</v>
      </c>
      <c r="J35" s="8">
        <v>5.03</v>
      </c>
    </row>
    <row r="36" ht="15.75" customHeight="1">
      <c r="A36" s="5" t="s">
        <v>100</v>
      </c>
      <c r="B36" s="6" t="s">
        <v>14</v>
      </c>
      <c r="C36" s="7">
        <v>0.0</v>
      </c>
      <c r="E36" s="5" t="s">
        <v>101</v>
      </c>
      <c r="F36" s="8">
        <f>(4.08+3.79+3.83+4.88)/4</f>
        <v>4.145</v>
      </c>
      <c r="G36" s="7">
        <v>4.0</v>
      </c>
      <c r="I36" s="13" t="s">
        <v>102</v>
      </c>
      <c r="J36" s="8">
        <v>5.39</v>
      </c>
    </row>
    <row r="37" ht="15.75" customHeight="1">
      <c r="A37" s="5" t="s">
        <v>103</v>
      </c>
      <c r="B37" s="17" t="s">
        <v>14</v>
      </c>
      <c r="C37" s="11">
        <v>0.0</v>
      </c>
      <c r="I37" s="13" t="s">
        <v>104</v>
      </c>
      <c r="J37" s="8">
        <v>5.0</v>
      </c>
    </row>
    <row r="38" ht="15.75" customHeight="1">
      <c r="B38" s="21"/>
      <c r="I38" s="13" t="s">
        <v>105</v>
      </c>
      <c r="J38" s="8">
        <v>5.26</v>
      </c>
    </row>
    <row r="39" ht="15.75" customHeight="1">
      <c r="B39" s="21"/>
      <c r="I39" s="13" t="s">
        <v>106</v>
      </c>
      <c r="J39" s="8">
        <v>5.39</v>
      </c>
    </row>
    <row r="40" ht="15.75" customHeight="1">
      <c r="B40" s="21"/>
      <c r="I40" s="13" t="s">
        <v>107</v>
      </c>
      <c r="J40" s="8">
        <v>5.54</v>
      </c>
    </row>
    <row r="41" ht="15.75" customHeight="1">
      <c r="B41" s="21"/>
      <c r="I41" s="13" t="s">
        <v>108</v>
      </c>
      <c r="J41" s="8">
        <v>5.14</v>
      </c>
    </row>
    <row r="42" ht="15.75" customHeight="1">
      <c r="B42" s="21"/>
      <c r="I42" s="13" t="s">
        <v>109</v>
      </c>
      <c r="J42" s="8">
        <v>4.77</v>
      </c>
    </row>
    <row r="43" ht="15.75" customHeight="1">
      <c r="B43" s="21"/>
      <c r="I43" s="13" t="s">
        <v>110</v>
      </c>
      <c r="J43" s="8">
        <v>4.99</v>
      </c>
    </row>
    <row r="44" ht="15.75" customHeight="1">
      <c r="B44" s="21"/>
      <c r="I44" s="13" t="s">
        <v>111</v>
      </c>
      <c r="J44" s="8">
        <v>5.95</v>
      </c>
    </row>
    <row r="45" ht="15.75" customHeight="1">
      <c r="B45" s="21"/>
      <c r="I45" s="13" t="s">
        <v>112</v>
      </c>
      <c r="J45" s="8">
        <v>5.34</v>
      </c>
    </row>
    <row r="46" ht="15.75" customHeight="1">
      <c r="B46" s="21"/>
      <c r="I46" s="13" t="s">
        <v>113</v>
      </c>
      <c r="J46" s="8">
        <v>4.87</v>
      </c>
    </row>
    <row r="47" ht="15.75" customHeight="1">
      <c r="B47" s="21"/>
    </row>
    <row r="48" ht="15.75" customHeight="1">
      <c r="B48" s="21"/>
    </row>
    <row r="49" ht="15.75" customHeight="1">
      <c r="B49" s="21"/>
    </row>
    <row r="50" ht="15.75" customHeight="1">
      <c r="B50" s="21"/>
    </row>
    <row r="51" ht="15.75" customHeight="1">
      <c r="B51" s="21"/>
    </row>
    <row r="52" ht="15.75" customHeight="1">
      <c r="B52" s="21"/>
    </row>
    <row r="53" ht="15.75" customHeight="1">
      <c r="B53" s="21"/>
    </row>
    <row r="54" ht="15.75" customHeight="1">
      <c r="B54" s="21"/>
    </row>
    <row r="55" ht="15.75" customHeight="1">
      <c r="B55" s="21"/>
    </row>
    <row r="56" ht="15.75" customHeight="1">
      <c r="B56" s="21"/>
    </row>
    <row r="57" ht="15.75" customHeight="1">
      <c r="B57" s="21"/>
    </row>
    <row r="58" ht="15.75" customHeight="1">
      <c r="B58" s="21"/>
    </row>
    <row r="59" ht="15.75" customHeight="1">
      <c r="B59" s="21"/>
    </row>
    <row r="60" ht="15.75" customHeight="1">
      <c r="B60" s="21"/>
    </row>
    <row r="61" ht="15.75" customHeight="1">
      <c r="B61" s="21"/>
    </row>
    <row r="62" ht="15.75" customHeight="1">
      <c r="B62" s="21"/>
    </row>
    <row r="63" ht="15.75" customHeight="1">
      <c r="B63" s="21"/>
    </row>
    <row r="64" ht="15.75" customHeight="1">
      <c r="B64" s="21"/>
    </row>
    <row r="65" ht="15.75" customHeight="1">
      <c r="B65" s="21"/>
    </row>
    <row r="66" ht="15.75" customHeight="1">
      <c r="B66" s="21"/>
    </row>
    <row r="67" ht="15.75" customHeight="1">
      <c r="B67" s="21"/>
    </row>
    <row r="68" ht="15.75" customHeight="1">
      <c r="B68" s="21"/>
    </row>
    <row r="69" ht="15.75" customHeight="1">
      <c r="B69" s="21"/>
    </row>
    <row r="70" ht="15.75" customHeight="1">
      <c r="B70" s="21"/>
    </row>
    <row r="71" ht="15.75" customHeight="1">
      <c r="B71" s="21"/>
    </row>
    <row r="72" ht="15.75" customHeight="1">
      <c r="B72" s="21"/>
    </row>
    <row r="73" ht="15.75" customHeight="1">
      <c r="B73" s="21"/>
    </row>
    <row r="74" ht="15.75" customHeight="1">
      <c r="B74" s="21"/>
    </row>
    <row r="75" ht="15.75" customHeight="1">
      <c r="B75" s="21"/>
    </row>
    <row r="76" ht="15.75" customHeight="1">
      <c r="B76" s="21"/>
    </row>
    <row r="77" ht="15.75" customHeight="1">
      <c r="B77" s="21"/>
    </row>
    <row r="78" ht="15.75" customHeight="1">
      <c r="B78" s="21"/>
    </row>
    <row r="79" ht="15.75" customHeight="1">
      <c r="B79" s="21"/>
    </row>
    <row r="80" ht="15.75" customHeight="1">
      <c r="B80" s="21"/>
    </row>
    <row r="81" ht="15.75" customHeight="1">
      <c r="B81" s="21"/>
    </row>
    <row r="82" ht="15.75" customHeight="1">
      <c r="B82" s="21"/>
    </row>
    <row r="83" ht="15.75" customHeight="1">
      <c r="B83" s="21"/>
    </row>
    <row r="84" ht="15.75" customHeight="1">
      <c r="B84" s="21"/>
    </row>
    <row r="85" ht="15.75" customHeight="1">
      <c r="B85" s="21"/>
    </row>
    <row r="86" ht="15.75" customHeight="1">
      <c r="B86" s="21"/>
    </row>
    <row r="87" ht="15.75" customHeight="1">
      <c r="B87" s="21"/>
    </row>
    <row r="88" ht="15.75" customHeight="1">
      <c r="B88" s="21"/>
    </row>
    <row r="89" ht="15.75" customHeight="1">
      <c r="B89" s="21"/>
    </row>
    <row r="90" ht="15.75" customHeight="1">
      <c r="B90" s="21"/>
    </row>
    <row r="91" ht="15.75" customHeight="1">
      <c r="B91" s="21"/>
    </row>
    <row r="92" ht="15.75" customHeight="1">
      <c r="B92" s="21"/>
    </row>
    <row r="93" ht="15.75" customHeight="1">
      <c r="B93" s="21"/>
    </row>
    <row r="94" ht="15.75" customHeight="1">
      <c r="B94" s="21"/>
    </row>
    <row r="95" ht="15.75" customHeight="1">
      <c r="B95" s="21"/>
    </row>
    <row r="96" ht="15.75" customHeight="1">
      <c r="B96" s="21"/>
    </row>
    <row r="97" ht="15.75" customHeight="1">
      <c r="B97" s="21"/>
    </row>
    <row r="98" ht="15.75" customHeight="1">
      <c r="B98" s="21"/>
    </row>
    <row r="99" ht="15.75" customHeight="1">
      <c r="B99" s="21"/>
    </row>
    <row r="100" ht="15.75" customHeight="1">
      <c r="B100" s="21"/>
    </row>
    <row r="101" ht="15.75" customHeight="1">
      <c r="B101" s="21"/>
    </row>
    <row r="102" ht="15.75" customHeight="1">
      <c r="B102" s="21"/>
    </row>
    <row r="103" ht="15.75" customHeight="1">
      <c r="B103" s="21"/>
    </row>
    <row r="104" ht="15.75" customHeight="1">
      <c r="B104" s="21"/>
    </row>
    <row r="105" ht="15.75" customHeight="1">
      <c r="B105" s="21"/>
    </row>
    <row r="106" ht="15.75" customHeight="1">
      <c r="B106" s="21"/>
    </row>
    <row r="107" ht="15.75" customHeight="1">
      <c r="B107" s="21"/>
    </row>
    <row r="108" ht="15.75" customHeight="1">
      <c r="B108" s="21"/>
    </row>
    <row r="109" ht="15.75" customHeight="1">
      <c r="B109" s="21"/>
    </row>
    <row r="110" ht="15.75" customHeight="1">
      <c r="B110" s="21"/>
    </row>
    <row r="111" ht="15.75" customHeight="1">
      <c r="B111" s="21"/>
    </row>
    <row r="112" ht="15.75" customHeight="1">
      <c r="B112" s="21"/>
    </row>
    <row r="113" ht="15.75" customHeight="1">
      <c r="B113" s="21"/>
    </row>
    <row r="114" ht="15.75" customHeight="1">
      <c r="B114" s="21"/>
    </row>
    <row r="115" ht="15.75" customHeight="1">
      <c r="B115" s="21"/>
    </row>
    <row r="116" ht="15.75" customHeight="1">
      <c r="B116" s="21"/>
    </row>
    <row r="117" ht="15.75" customHeight="1">
      <c r="B117" s="21"/>
    </row>
    <row r="118" ht="15.75" customHeight="1">
      <c r="B118" s="21"/>
    </row>
    <row r="119" ht="15.75" customHeight="1">
      <c r="B119" s="21"/>
    </row>
    <row r="120" ht="15.75" customHeight="1">
      <c r="B120" s="21"/>
    </row>
    <row r="121" ht="15.75" customHeight="1">
      <c r="B121" s="21"/>
    </row>
    <row r="122" ht="15.75" customHeight="1">
      <c r="B122" s="21"/>
    </row>
    <row r="123" ht="15.75" customHeight="1">
      <c r="B123" s="21"/>
    </row>
    <row r="124" ht="15.75" customHeight="1">
      <c r="B124" s="21"/>
    </row>
    <row r="125" ht="15.75" customHeight="1">
      <c r="B125" s="21"/>
    </row>
    <row r="126" ht="15.75" customHeight="1">
      <c r="B126" s="21"/>
    </row>
    <row r="127" ht="15.75" customHeight="1">
      <c r="B127" s="21"/>
    </row>
    <row r="128" ht="15.75" customHeight="1">
      <c r="B128" s="21"/>
    </row>
    <row r="129" ht="15.75" customHeight="1">
      <c r="B129" s="21"/>
    </row>
    <row r="130" ht="15.75" customHeight="1">
      <c r="B130" s="21"/>
    </row>
    <row r="131" ht="15.75" customHeight="1">
      <c r="B131" s="21"/>
    </row>
    <row r="132" ht="15.75" customHeight="1">
      <c r="B132" s="21"/>
    </row>
    <row r="133" ht="15.75" customHeight="1">
      <c r="B133" s="21"/>
    </row>
    <row r="134" ht="15.75" customHeight="1">
      <c r="B134" s="21"/>
    </row>
    <row r="135" ht="15.75" customHeight="1">
      <c r="B135" s="21"/>
    </row>
    <row r="136" ht="15.75" customHeight="1">
      <c r="B136" s="21"/>
    </row>
    <row r="137" ht="15.75" customHeight="1">
      <c r="B137" s="21"/>
    </row>
    <row r="138" ht="15.75" customHeight="1">
      <c r="B138" s="21"/>
    </row>
    <row r="139" ht="15.75" customHeight="1">
      <c r="B139" s="21"/>
    </row>
    <row r="140" ht="15.75" customHeight="1">
      <c r="B140" s="21"/>
    </row>
    <row r="141" ht="15.75" customHeight="1">
      <c r="B141" s="21"/>
    </row>
    <row r="142" ht="15.75" customHeight="1">
      <c r="B142" s="21"/>
    </row>
    <row r="143" ht="15.75" customHeight="1">
      <c r="B143" s="21"/>
    </row>
    <row r="144" ht="15.75" customHeight="1">
      <c r="B144" s="21"/>
    </row>
    <row r="145" ht="15.75" customHeight="1">
      <c r="B145" s="21"/>
    </row>
    <row r="146" ht="15.75" customHeight="1">
      <c r="B146" s="21"/>
    </row>
    <row r="147" ht="15.75" customHeight="1">
      <c r="B147" s="21"/>
    </row>
    <row r="148" ht="15.75" customHeight="1">
      <c r="B148" s="21"/>
    </row>
    <row r="149" ht="15.75" customHeight="1">
      <c r="B149" s="21"/>
    </row>
    <row r="150" ht="15.75" customHeight="1">
      <c r="B150" s="21"/>
    </row>
    <row r="151" ht="15.75" customHeight="1">
      <c r="B151" s="21"/>
    </row>
    <row r="152" ht="15.75" customHeight="1">
      <c r="B152" s="21"/>
    </row>
    <row r="153" ht="15.75" customHeight="1">
      <c r="B153" s="21"/>
    </row>
    <row r="154" ht="15.75" customHeight="1">
      <c r="B154" s="21"/>
    </row>
    <row r="155" ht="15.75" customHeight="1">
      <c r="B155" s="21"/>
    </row>
    <row r="156" ht="15.75" customHeight="1">
      <c r="B156" s="21"/>
    </row>
    <row r="157" ht="15.75" customHeight="1">
      <c r="B157" s="21"/>
    </row>
    <row r="158" ht="15.75" customHeight="1">
      <c r="B158" s="21"/>
    </row>
    <row r="159" ht="15.75" customHeight="1">
      <c r="B159" s="21"/>
    </row>
    <row r="160" ht="15.75" customHeight="1">
      <c r="B160" s="21"/>
    </row>
    <row r="161" ht="15.75" customHeight="1">
      <c r="B161" s="21"/>
    </row>
    <row r="162" ht="15.75" customHeight="1">
      <c r="B162" s="21"/>
    </row>
    <row r="163" ht="15.75" customHeight="1">
      <c r="B163" s="21"/>
    </row>
    <row r="164" ht="15.75" customHeight="1">
      <c r="B164" s="21"/>
    </row>
    <row r="165" ht="15.75" customHeight="1">
      <c r="B165" s="21"/>
    </row>
    <row r="166" ht="15.75" customHeight="1">
      <c r="B166" s="21"/>
    </row>
    <row r="167" ht="15.75" customHeight="1">
      <c r="B167" s="21"/>
    </row>
    <row r="168" ht="15.75" customHeight="1">
      <c r="B168" s="21"/>
    </row>
    <row r="169" ht="15.75" customHeight="1">
      <c r="B169" s="21"/>
    </row>
    <row r="170" ht="15.75" customHeight="1">
      <c r="B170" s="21"/>
    </row>
    <row r="171" ht="15.75" customHeight="1">
      <c r="B171" s="21"/>
    </row>
    <row r="172" ht="15.75" customHeight="1">
      <c r="B172" s="21"/>
    </row>
    <row r="173" ht="15.75" customHeight="1">
      <c r="B173" s="21"/>
    </row>
    <row r="174" ht="15.75" customHeight="1">
      <c r="B174" s="21"/>
    </row>
    <row r="175" ht="15.75" customHeight="1">
      <c r="B175" s="21"/>
    </row>
    <row r="176" ht="15.75" customHeight="1">
      <c r="B176" s="21"/>
    </row>
    <row r="177" ht="15.75" customHeight="1">
      <c r="B177" s="21"/>
    </row>
    <row r="178" ht="15.75" customHeight="1">
      <c r="B178" s="21"/>
    </row>
    <row r="179" ht="15.75" customHeight="1">
      <c r="B179" s="21"/>
    </row>
    <row r="180" ht="15.75" customHeight="1">
      <c r="B180" s="21"/>
    </row>
    <row r="181" ht="15.75" customHeight="1">
      <c r="B181" s="21"/>
    </row>
    <row r="182" ht="15.75" customHeight="1">
      <c r="B182" s="21"/>
    </row>
    <row r="183" ht="15.75" customHeight="1">
      <c r="B183" s="21"/>
    </row>
    <row r="184" ht="15.75" customHeight="1">
      <c r="B184" s="21"/>
    </row>
    <row r="185" ht="15.75" customHeight="1">
      <c r="B185" s="21"/>
    </row>
    <row r="186" ht="15.75" customHeight="1">
      <c r="B186" s="21"/>
    </row>
    <row r="187" ht="15.75" customHeight="1">
      <c r="B187" s="21"/>
    </row>
    <row r="188" ht="15.75" customHeight="1">
      <c r="B188" s="21"/>
    </row>
    <row r="189" ht="15.75" customHeight="1">
      <c r="B189" s="21"/>
    </row>
    <row r="190" ht="15.75" customHeight="1">
      <c r="B190" s="21"/>
    </row>
    <row r="191" ht="15.75" customHeight="1">
      <c r="B191" s="21"/>
    </row>
    <row r="192" ht="15.75" customHeight="1">
      <c r="B192" s="21"/>
    </row>
    <row r="193" ht="15.75" customHeight="1">
      <c r="B193" s="21"/>
    </row>
    <row r="194" ht="15.75" customHeight="1">
      <c r="B194" s="21"/>
    </row>
    <row r="195" ht="15.75" customHeight="1">
      <c r="B195" s="21"/>
    </row>
    <row r="196" ht="15.75" customHeight="1">
      <c r="B196" s="21"/>
    </row>
    <row r="197" ht="15.75" customHeight="1">
      <c r="B197" s="21"/>
    </row>
    <row r="198" ht="15.75" customHeight="1">
      <c r="B198" s="21"/>
    </row>
    <row r="199" ht="15.75" customHeight="1">
      <c r="B199" s="21"/>
    </row>
    <row r="200" ht="15.75" customHeight="1">
      <c r="B200" s="21"/>
    </row>
    <row r="201" ht="15.75" customHeight="1">
      <c r="B201" s="21"/>
    </row>
    <row r="202" ht="15.75" customHeight="1">
      <c r="B202" s="21"/>
    </row>
    <row r="203" ht="15.75" customHeight="1">
      <c r="B203" s="21"/>
    </row>
    <row r="204" ht="15.75" customHeight="1">
      <c r="B204" s="21"/>
    </row>
    <row r="205" ht="15.75" customHeight="1">
      <c r="B205" s="21"/>
    </row>
    <row r="206" ht="15.75" customHeight="1">
      <c r="B206" s="21"/>
    </row>
    <row r="207" ht="15.75" customHeight="1">
      <c r="B207" s="21"/>
    </row>
    <row r="208" ht="15.75" customHeight="1">
      <c r="B208" s="21"/>
    </row>
    <row r="209" ht="15.75" customHeight="1">
      <c r="B209" s="21"/>
    </row>
    <row r="210" ht="15.75" customHeight="1">
      <c r="B210" s="21"/>
    </row>
    <row r="211" ht="15.75" customHeight="1">
      <c r="B211" s="21"/>
    </row>
    <row r="212" ht="15.75" customHeight="1">
      <c r="B212" s="21"/>
    </row>
    <row r="213" ht="15.75" customHeight="1">
      <c r="B213" s="21"/>
    </row>
    <row r="214" ht="15.75" customHeight="1">
      <c r="B214" s="21"/>
    </row>
    <row r="215" ht="15.75" customHeight="1">
      <c r="B215" s="21"/>
    </row>
    <row r="216" ht="15.75" customHeight="1">
      <c r="B216" s="21"/>
    </row>
    <row r="217" ht="15.75" customHeight="1">
      <c r="B217" s="21"/>
    </row>
    <row r="218" ht="15.75" customHeight="1">
      <c r="B218" s="21"/>
    </row>
    <row r="219" ht="15.75" customHeight="1">
      <c r="B219" s="21"/>
    </row>
    <row r="220" ht="15.75" customHeight="1">
      <c r="B220" s="21"/>
    </row>
    <row r="221" ht="15.75" customHeight="1">
      <c r="B221" s="21"/>
    </row>
    <row r="222" ht="15.75" customHeight="1">
      <c r="B222" s="21"/>
    </row>
    <row r="223" ht="15.75" customHeight="1">
      <c r="B223" s="21"/>
    </row>
    <row r="224" ht="15.75" customHeight="1">
      <c r="B224" s="21"/>
    </row>
    <row r="225" ht="15.75" customHeight="1">
      <c r="B225" s="21"/>
    </row>
    <row r="226" ht="15.75" customHeight="1">
      <c r="B226" s="21"/>
    </row>
    <row r="227" ht="15.75" customHeight="1">
      <c r="B227" s="21"/>
    </row>
    <row r="228" ht="15.75" customHeight="1">
      <c r="B228" s="21"/>
    </row>
    <row r="229" ht="15.75" customHeight="1">
      <c r="B229" s="21"/>
    </row>
    <row r="230" ht="15.75" customHeight="1">
      <c r="B230" s="21"/>
    </row>
    <row r="231" ht="15.75" customHeight="1">
      <c r="B231" s="21"/>
    </row>
    <row r="232" ht="15.75" customHeight="1">
      <c r="B232" s="21"/>
    </row>
    <row r="233" ht="15.75" customHeight="1">
      <c r="B233" s="21"/>
    </row>
    <row r="234" ht="15.75" customHeight="1">
      <c r="B234" s="21"/>
    </row>
    <row r="235" ht="15.75" customHeight="1">
      <c r="B235" s="21"/>
    </row>
    <row r="236" ht="15.75" customHeight="1">
      <c r="B236" s="21"/>
    </row>
    <row r="237" ht="15.75" customHeight="1">
      <c r="B237" s="21"/>
    </row>
    <row r="238" ht="15.75" customHeight="1">
      <c r="B238" s="21"/>
    </row>
    <row r="239" ht="15.75" customHeight="1">
      <c r="B239" s="21"/>
    </row>
    <row r="240" ht="15.75" customHeight="1">
      <c r="B240" s="21"/>
    </row>
    <row r="241" ht="15.75" customHeight="1">
      <c r="B241" s="21"/>
    </row>
    <row r="242" ht="15.75" customHeight="1">
      <c r="B242" s="21"/>
    </row>
    <row r="243" ht="15.75" customHeight="1">
      <c r="B243" s="21"/>
    </row>
    <row r="244" ht="15.75" customHeight="1">
      <c r="B244" s="21"/>
    </row>
    <row r="245" ht="15.75" customHeight="1">
      <c r="B245" s="21"/>
    </row>
    <row r="246" ht="15.75" customHeight="1">
      <c r="B246" s="21"/>
    </row>
    <row r="247" ht="15.75" customHeight="1">
      <c r="B247" s="21"/>
    </row>
    <row r="248" ht="15.75" customHeight="1">
      <c r="B248" s="21"/>
    </row>
    <row r="249" ht="15.75" customHeight="1">
      <c r="B249" s="21"/>
    </row>
    <row r="250" ht="15.75" customHeight="1">
      <c r="B250" s="21"/>
    </row>
    <row r="251" ht="15.75" customHeight="1">
      <c r="B251" s="21"/>
    </row>
    <row r="252" ht="15.75" customHeight="1">
      <c r="B252" s="21"/>
    </row>
    <row r="253" ht="15.75" customHeight="1">
      <c r="B253" s="21"/>
    </row>
    <row r="254" ht="15.75" customHeight="1">
      <c r="B254" s="21"/>
    </row>
    <row r="255" ht="15.75" customHeight="1">
      <c r="B255" s="21"/>
    </row>
    <row r="256" ht="15.75" customHeight="1">
      <c r="B256" s="21"/>
    </row>
    <row r="257" ht="15.75" customHeight="1">
      <c r="B257" s="21"/>
    </row>
    <row r="258" ht="15.75" customHeight="1">
      <c r="B258" s="21"/>
    </row>
    <row r="259" ht="15.75" customHeight="1">
      <c r="B259" s="21"/>
    </row>
    <row r="260" ht="15.75" customHeight="1">
      <c r="B260" s="21"/>
    </row>
    <row r="261" ht="15.75" customHeight="1">
      <c r="B261" s="21"/>
    </row>
    <row r="262" ht="15.75" customHeight="1">
      <c r="B262" s="21"/>
    </row>
    <row r="263" ht="15.75" customHeight="1">
      <c r="B263" s="21"/>
    </row>
    <row r="264" ht="15.75" customHeight="1">
      <c r="B264" s="21"/>
    </row>
    <row r="265" ht="15.75" customHeight="1">
      <c r="B265" s="21"/>
    </row>
    <row r="266" ht="15.75" customHeight="1">
      <c r="B266" s="21"/>
    </row>
    <row r="267" ht="15.75" customHeight="1">
      <c r="B267" s="21"/>
    </row>
    <row r="268" ht="15.75" customHeight="1">
      <c r="B268" s="21"/>
    </row>
    <row r="269" ht="15.75" customHeight="1">
      <c r="B269" s="21"/>
    </row>
    <row r="270" ht="15.75" customHeight="1">
      <c r="B270" s="21"/>
    </row>
    <row r="271" ht="15.75" customHeight="1">
      <c r="B271" s="21"/>
    </row>
    <row r="272" ht="15.75" customHeight="1">
      <c r="B272" s="21"/>
    </row>
    <row r="273" ht="15.75" customHeight="1">
      <c r="B273" s="21"/>
    </row>
    <row r="274" ht="15.75" customHeight="1">
      <c r="B274" s="21"/>
    </row>
    <row r="275" ht="15.75" customHeight="1">
      <c r="B275" s="21"/>
    </row>
    <row r="276" ht="15.75" customHeight="1">
      <c r="B276" s="21"/>
    </row>
    <row r="277" ht="15.75" customHeight="1">
      <c r="B277" s="21"/>
    </row>
    <row r="278" ht="15.75" customHeight="1">
      <c r="B278" s="21"/>
    </row>
    <row r="279" ht="15.75" customHeight="1">
      <c r="B279" s="21"/>
    </row>
    <row r="280" ht="15.75" customHeight="1">
      <c r="B280" s="21"/>
    </row>
    <row r="281" ht="15.75" customHeight="1">
      <c r="B281" s="21"/>
    </row>
    <row r="282" ht="15.75" customHeight="1">
      <c r="B282" s="21"/>
    </row>
    <row r="283" ht="15.75" customHeight="1">
      <c r="B283" s="21"/>
    </row>
    <row r="284" ht="15.75" customHeight="1">
      <c r="B284" s="21"/>
    </row>
    <row r="285" ht="15.75" customHeight="1">
      <c r="B285" s="21"/>
    </row>
    <row r="286" ht="15.75" customHeight="1">
      <c r="B286" s="21"/>
    </row>
    <row r="287" ht="15.75" customHeight="1">
      <c r="B287" s="21"/>
    </row>
    <row r="288" ht="15.75" customHeight="1">
      <c r="B288" s="21"/>
    </row>
    <row r="289" ht="15.75" customHeight="1">
      <c r="B289" s="21"/>
    </row>
    <row r="290" ht="15.75" customHeight="1">
      <c r="B290" s="21"/>
    </row>
    <row r="291" ht="15.75" customHeight="1">
      <c r="B291" s="21"/>
    </row>
    <row r="292" ht="15.75" customHeight="1">
      <c r="B292" s="21"/>
    </row>
    <row r="293" ht="15.75" customHeight="1">
      <c r="B293" s="21"/>
    </row>
    <row r="294" ht="15.75" customHeight="1">
      <c r="B294" s="21"/>
    </row>
    <row r="295" ht="15.75" customHeight="1">
      <c r="B295" s="21"/>
    </row>
    <row r="296" ht="15.75" customHeight="1">
      <c r="B296" s="21"/>
    </row>
    <row r="297" ht="15.75" customHeight="1">
      <c r="B297" s="21"/>
    </row>
    <row r="298" ht="15.75" customHeight="1">
      <c r="B298" s="21"/>
    </row>
    <row r="299" ht="15.75" customHeight="1">
      <c r="B299" s="21"/>
    </row>
    <row r="300" ht="15.75" customHeight="1">
      <c r="B300" s="21"/>
    </row>
    <row r="301" ht="15.75" customHeight="1">
      <c r="B301" s="21"/>
    </row>
    <row r="302" ht="15.75" customHeight="1">
      <c r="B302" s="21"/>
    </row>
    <row r="303" ht="15.75" customHeight="1">
      <c r="B303" s="21"/>
    </row>
    <row r="304" ht="15.75" customHeight="1">
      <c r="B304" s="21"/>
    </row>
    <row r="305" ht="15.75" customHeight="1">
      <c r="B305" s="21"/>
    </row>
    <row r="306" ht="15.75" customHeight="1">
      <c r="B306" s="21"/>
    </row>
    <row r="307" ht="15.75" customHeight="1">
      <c r="B307" s="21"/>
    </row>
    <row r="308" ht="15.75" customHeight="1">
      <c r="B308" s="21"/>
    </row>
    <row r="309" ht="15.75" customHeight="1">
      <c r="B309" s="21"/>
    </row>
    <row r="310" ht="15.75" customHeight="1">
      <c r="B310" s="21"/>
    </row>
    <row r="311" ht="15.75" customHeight="1">
      <c r="B311" s="21"/>
    </row>
    <row r="312" ht="15.75" customHeight="1">
      <c r="B312" s="21"/>
    </row>
    <row r="313" ht="15.75" customHeight="1">
      <c r="B313" s="21"/>
    </row>
    <row r="314" ht="15.75" customHeight="1">
      <c r="B314" s="21"/>
    </row>
    <row r="315" ht="15.75" customHeight="1">
      <c r="B315" s="21"/>
    </row>
    <row r="316" ht="15.75" customHeight="1">
      <c r="B316" s="21"/>
    </row>
    <row r="317" ht="15.75" customHeight="1">
      <c r="B317" s="21"/>
    </row>
    <row r="318" ht="15.75" customHeight="1">
      <c r="B318" s="21"/>
    </row>
    <row r="319" ht="15.75" customHeight="1">
      <c r="B319" s="21"/>
    </row>
    <row r="320" ht="15.75" customHeight="1">
      <c r="B320" s="21"/>
    </row>
    <row r="321" ht="15.75" customHeight="1">
      <c r="B321" s="21"/>
    </row>
    <row r="322" ht="15.75" customHeight="1">
      <c r="B322" s="21"/>
    </row>
    <row r="323" ht="15.75" customHeight="1">
      <c r="B323" s="21"/>
    </row>
    <row r="324" ht="15.75" customHeight="1">
      <c r="B324" s="21"/>
    </row>
    <row r="325" ht="15.75" customHeight="1">
      <c r="B325" s="21"/>
    </row>
    <row r="326" ht="15.75" customHeight="1">
      <c r="B326" s="21"/>
    </row>
    <row r="327" ht="15.75" customHeight="1">
      <c r="B327" s="21"/>
    </row>
    <row r="328" ht="15.75" customHeight="1">
      <c r="B328" s="21"/>
    </row>
    <row r="329" ht="15.75" customHeight="1">
      <c r="B329" s="21"/>
    </row>
    <row r="330" ht="15.75" customHeight="1">
      <c r="B330" s="21"/>
    </row>
    <row r="331" ht="15.75" customHeight="1">
      <c r="B331" s="21"/>
    </row>
    <row r="332" ht="15.75" customHeight="1">
      <c r="B332" s="21"/>
    </row>
    <row r="333" ht="15.75" customHeight="1">
      <c r="B333" s="21"/>
    </row>
    <row r="334" ht="15.75" customHeight="1">
      <c r="B334" s="21"/>
    </row>
    <row r="335" ht="15.75" customHeight="1">
      <c r="B335" s="21"/>
    </row>
    <row r="336" ht="15.75" customHeight="1">
      <c r="B336" s="21"/>
    </row>
    <row r="337" ht="15.75" customHeight="1">
      <c r="B337" s="21"/>
    </row>
    <row r="338" ht="15.75" customHeight="1">
      <c r="B338" s="21"/>
    </row>
    <row r="339" ht="15.75" customHeight="1">
      <c r="B339" s="21"/>
    </row>
    <row r="340" ht="15.75" customHeight="1">
      <c r="B340" s="21"/>
    </row>
    <row r="341" ht="15.75" customHeight="1">
      <c r="B341" s="21"/>
    </row>
    <row r="342" ht="15.75" customHeight="1">
      <c r="B342" s="21"/>
    </row>
    <row r="343" ht="15.75" customHeight="1">
      <c r="B343" s="21"/>
    </row>
    <row r="344" ht="15.75" customHeight="1">
      <c r="B344" s="21"/>
    </row>
    <row r="345" ht="15.75" customHeight="1">
      <c r="B345" s="21"/>
    </row>
    <row r="346" ht="15.75" customHeight="1">
      <c r="B346" s="21"/>
    </row>
    <row r="347" ht="15.75" customHeight="1">
      <c r="B347" s="21"/>
    </row>
    <row r="348" ht="15.75" customHeight="1">
      <c r="B348" s="21"/>
    </row>
    <row r="349" ht="15.75" customHeight="1">
      <c r="B349" s="21"/>
    </row>
    <row r="350" ht="15.75" customHeight="1">
      <c r="B350" s="21"/>
    </row>
    <row r="351" ht="15.75" customHeight="1">
      <c r="B351" s="21"/>
    </row>
    <row r="352" ht="15.75" customHeight="1">
      <c r="B352" s="21"/>
    </row>
    <row r="353" ht="15.75" customHeight="1">
      <c r="B353" s="21"/>
    </row>
    <row r="354" ht="15.75" customHeight="1">
      <c r="B354" s="21"/>
    </row>
    <row r="355" ht="15.75" customHeight="1">
      <c r="B355" s="21"/>
    </row>
    <row r="356" ht="15.75" customHeight="1">
      <c r="B356" s="21"/>
    </row>
    <row r="357" ht="15.75" customHeight="1">
      <c r="B357" s="21"/>
    </row>
    <row r="358" ht="15.75" customHeight="1">
      <c r="B358" s="21"/>
    </row>
    <row r="359" ht="15.75" customHeight="1">
      <c r="B359" s="21"/>
    </row>
    <row r="360" ht="15.75" customHeight="1">
      <c r="B360" s="21"/>
    </row>
    <row r="361" ht="15.75" customHeight="1">
      <c r="B361" s="21"/>
    </row>
    <row r="362" ht="15.75" customHeight="1">
      <c r="B362" s="21"/>
    </row>
    <row r="363" ht="15.75" customHeight="1">
      <c r="B363" s="21"/>
    </row>
    <row r="364" ht="15.75" customHeight="1">
      <c r="B364" s="21"/>
    </row>
    <row r="365" ht="15.75" customHeight="1">
      <c r="B365" s="21"/>
    </row>
    <row r="366" ht="15.75" customHeight="1">
      <c r="B366" s="21"/>
    </row>
    <row r="367" ht="15.75" customHeight="1">
      <c r="B367" s="21"/>
    </row>
    <row r="368" ht="15.75" customHeight="1">
      <c r="B368" s="21"/>
    </row>
    <row r="369" ht="15.75" customHeight="1">
      <c r="B369" s="21"/>
    </row>
    <row r="370" ht="15.75" customHeight="1">
      <c r="B370" s="21"/>
    </row>
    <row r="371" ht="15.75" customHeight="1">
      <c r="B371" s="21"/>
    </row>
    <row r="372" ht="15.75" customHeight="1">
      <c r="B372" s="21"/>
    </row>
    <row r="373" ht="15.75" customHeight="1">
      <c r="B373" s="21"/>
    </row>
    <row r="374" ht="15.75" customHeight="1">
      <c r="B374" s="21"/>
    </row>
    <row r="375" ht="15.75" customHeight="1">
      <c r="B375" s="21"/>
    </row>
    <row r="376" ht="15.75" customHeight="1">
      <c r="B376" s="21"/>
    </row>
    <row r="377" ht="15.75" customHeight="1">
      <c r="B377" s="21"/>
    </row>
    <row r="378" ht="15.75" customHeight="1">
      <c r="B378" s="21"/>
    </row>
    <row r="379" ht="15.75" customHeight="1">
      <c r="B379" s="21"/>
    </row>
    <row r="380" ht="15.75" customHeight="1">
      <c r="B380" s="21"/>
    </row>
    <row r="381" ht="15.75" customHeight="1">
      <c r="B381" s="21"/>
    </row>
    <row r="382" ht="15.75" customHeight="1">
      <c r="B382" s="21"/>
    </row>
    <row r="383" ht="15.75" customHeight="1">
      <c r="B383" s="21"/>
    </row>
    <row r="384" ht="15.75" customHeight="1">
      <c r="B384" s="21"/>
    </row>
    <row r="385" ht="15.75" customHeight="1">
      <c r="B385" s="21"/>
    </row>
    <row r="386" ht="15.75" customHeight="1">
      <c r="B386" s="21"/>
    </row>
    <row r="387" ht="15.75" customHeight="1">
      <c r="B387" s="21"/>
    </row>
    <row r="388" ht="15.75" customHeight="1">
      <c r="B388" s="21"/>
    </row>
    <row r="389" ht="15.75" customHeight="1">
      <c r="B389" s="21"/>
    </row>
    <row r="390" ht="15.75" customHeight="1">
      <c r="B390" s="21"/>
    </row>
    <row r="391" ht="15.75" customHeight="1">
      <c r="B391" s="21"/>
    </row>
    <row r="392" ht="15.75" customHeight="1">
      <c r="B392" s="21"/>
    </row>
    <row r="393" ht="15.75" customHeight="1">
      <c r="B393" s="21"/>
    </row>
    <row r="394" ht="15.75" customHeight="1">
      <c r="B394" s="21"/>
    </row>
    <row r="395" ht="15.75" customHeight="1">
      <c r="B395" s="21"/>
    </row>
    <row r="396" ht="15.75" customHeight="1">
      <c r="B396" s="21"/>
    </row>
    <row r="397" ht="15.75" customHeight="1">
      <c r="B397" s="21"/>
    </row>
    <row r="398" ht="15.75" customHeight="1">
      <c r="B398" s="21"/>
    </row>
    <row r="399" ht="15.75" customHeight="1">
      <c r="B399" s="21"/>
    </row>
    <row r="400" ht="15.75" customHeight="1">
      <c r="B400" s="21"/>
    </row>
    <row r="401" ht="15.75" customHeight="1">
      <c r="B401" s="21"/>
    </row>
    <row r="402" ht="15.75" customHeight="1">
      <c r="B402" s="21"/>
    </row>
    <row r="403" ht="15.75" customHeight="1">
      <c r="B403" s="21"/>
    </row>
    <row r="404" ht="15.75" customHeight="1">
      <c r="B404" s="21"/>
    </row>
    <row r="405" ht="15.75" customHeight="1">
      <c r="B405" s="21"/>
    </row>
    <row r="406" ht="15.75" customHeight="1">
      <c r="B406" s="21"/>
    </row>
    <row r="407" ht="15.75" customHeight="1">
      <c r="B407" s="21"/>
    </row>
    <row r="408" ht="15.75" customHeight="1">
      <c r="B408" s="21"/>
    </row>
    <row r="409" ht="15.75" customHeight="1">
      <c r="B409" s="21"/>
    </row>
    <row r="410" ht="15.75" customHeight="1">
      <c r="B410" s="21"/>
    </row>
    <row r="411" ht="15.75" customHeight="1">
      <c r="B411" s="21"/>
    </row>
    <row r="412" ht="15.75" customHeight="1">
      <c r="B412" s="21"/>
    </row>
    <row r="413" ht="15.75" customHeight="1">
      <c r="B413" s="21"/>
    </row>
    <row r="414" ht="15.75" customHeight="1">
      <c r="B414" s="21"/>
    </row>
    <row r="415" ht="15.75" customHeight="1">
      <c r="B415" s="21"/>
    </row>
    <row r="416" ht="15.75" customHeight="1">
      <c r="B416" s="21"/>
    </row>
    <row r="417" ht="15.75" customHeight="1">
      <c r="B417" s="21"/>
    </row>
    <row r="418" ht="15.75" customHeight="1">
      <c r="B418" s="21"/>
    </row>
    <row r="419" ht="15.75" customHeight="1">
      <c r="B419" s="21"/>
    </row>
    <row r="420" ht="15.75" customHeight="1">
      <c r="B420" s="21"/>
    </row>
    <row r="421" ht="15.75" customHeight="1">
      <c r="B421" s="21"/>
    </row>
    <row r="422" ht="15.75" customHeight="1">
      <c r="B422" s="21"/>
    </row>
    <row r="423" ht="15.75" customHeight="1">
      <c r="B423" s="21"/>
    </row>
    <row r="424" ht="15.75" customHeight="1">
      <c r="B424" s="21"/>
    </row>
    <row r="425" ht="15.75" customHeight="1">
      <c r="B425" s="21"/>
    </row>
    <row r="426" ht="15.75" customHeight="1">
      <c r="B426" s="21"/>
    </row>
    <row r="427" ht="15.75" customHeight="1">
      <c r="B427" s="21"/>
    </row>
    <row r="428" ht="15.75" customHeight="1">
      <c r="B428" s="21"/>
    </row>
    <row r="429" ht="15.75" customHeight="1">
      <c r="B429" s="21"/>
    </row>
    <row r="430" ht="15.75" customHeight="1">
      <c r="B430" s="21"/>
    </row>
    <row r="431" ht="15.75" customHeight="1">
      <c r="B431" s="21"/>
    </row>
    <row r="432" ht="15.75" customHeight="1">
      <c r="B432" s="21"/>
    </row>
    <row r="433" ht="15.75" customHeight="1">
      <c r="B433" s="21"/>
    </row>
    <row r="434" ht="15.75" customHeight="1">
      <c r="B434" s="21"/>
    </row>
    <row r="435" ht="15.75" customHeight="1">
      <c r="B435" s="21"/>
    </row>
    <row r="436" ht="15.75" customHeight="1">
      <c r="B436" s="21"/>
    </row>
    <row r="437" ht="15.75" customHeight="1">
      <c r="B437" s="21"/>
    </row>
    <row r="438" ht="15.75" customHeight="1">
      <c r="B438" s="21"/>
    </row>
    <row r="439" ht="15.75" customHeight="1">
      <c r="B439" s="21"/>
    </row>
    <row r="440" ht="15.75" customHeight="1">
      <c r="B440" s="21"/>
    </row>
    <row r="441" ht="15.75" customHeight="1">
      <c r="B441" s="21"/>
    </row>
    <row r="442" ht="15.75" customHeight="1">
      <c r="B442" s="21"/>
    </row>
    <row r="443" ht="15.75" customHeight="1">
      <c r="B443" s="21"/>
    </row>
    <row r="444" ht="15.75" customHeight="1">
      <c r="B444" s="21"/>
    </row>
    <row r="445" ht="15.75" customHeight="1">
      <c r="B445" s="21"/>
    </row>
    <row r="446" ht="15.75" customHeight="1">
      <c r="B446" s="21"/>
    </row>
    <row r="447" ht="15.75" customHeight="1">
      <c r="B447" s="21"/>
    </row>
    <row r="448" ht="15.75" customHeight="1">
      <c r="B448" s="21"/>
    </row>
    <row r="449" ht="15.75" customHeight="1">
      <c r="B449" s="21"/>
    </row>
    <row r="450" ht="15.75" customHeight="1">
      <c r="B450" s="21"/>
    </row>
    <row r="451" ht="15.75" customHeight="1">
      <c r="B451" s="21"/>
    </row>
    <row r="452" ht="15.75" customHeight="1">
      <c r="B452" s="21"/>
    </row>
    <row r="453" ht="15.75" customHeight="1">
      <c r="B453" s="21"/>
    </row>
    <row r="454" ht="15.75" customHeight="1">
      <c r="B454" s="21"/>
    </row>
    <row r="455" ht="15.75" customHeight="1">
      <c r="B455" s="21"/>
    </row>
    <row r="456" ht="15.75" customHeight="1">
      <c r="B456" s="21"/>
    </row>
    <row r="457" ht="15.75" customHeight="1">
      <c r="B457" s="21"/>
    </row>
    <row r="458" ht="15.75" customHeight="1">
      <c r="B458" s="21"/>
    </row>
    <row r="459" ht="15.75" customHeight="1">
      <c r="B459" s="21"/>
    </row>
    <row r="460" ht="15.75" customHeight="1">
      <c r="B460" s="21"/>
    </row>
    <row r="461" ht="15.75" customHeight="1">
      <c r="B461" s="21"/>
    </row>
    <row r="462" ht="15.75" customHeight="1">
      <c r="B462" s="21"/>
    </row>
    <row r="463" ht="15.75" customHeight="1">
      <c r="B463" s="21"/>
    </row>
    <row r="464" ht="15.75" customHeight="1">
      <c r="B464" s="21"/>
    </row>
    <row r="465" ht="15.75" customHeight="1">
      <c r="B465" s="21"/>
    </row>
    <row r="466" ht="15.75" customHeight="1">
      <c r="B466" s="21"/>
    </row>
    <row r="467" ht="15.75" customHeight="1">
      <c r="B467" s="21"/>
    </row>
    <row r="468" ht="15.75" customHeight="1">
      <c r="B468" s="21"/>
    </row>
    <row r="469" ht="15.75" customHeight="1">
      <c r="B469" s="21"/>
    </row>
    <row r="470" ht="15.75" customHeight="1">
      <c r="B470" s="21"/>
    </row>
    <row r="471" ht="15.75" customHeight="1">
      <c r="B471" s="21"/>
    </row>
    <row r="472" ht="15.75" customHeight="1">
      <c r="B472" s="21"/>
    </row>
    <row r="473" ht="15.75" customHeight="1">
      <c r="B473" s="21"/>
    </row>
    <row r="474" ht="15.75" customHeight="1">
      <c r="B474" s="21"/>
    </row>
    <row r="475" ht="15.75" customHeight="1">
      <c r="B475" s="21"/>
    </row>
    <row r="476" ht="15.75" customHeight="1">
      <c r="B476" s="21"/>
    </row>
    <row r="477" ht="15.75" customHeight="1">
      <c r="B477" s="21"/>
    </row>
    <row r="478" ht="15.75" customHeight="1">
      <c r="B478" s="21"/>
    </row>
    <row r="479" ht="15.75" customHeight="1">
      <c r="B479" s="21"/>
    </row>
    <row r="480" ht="15.75" customHeight="1">
      <c r="B480" s="21"/>
    </row>
    <row r="481" ht="15.75" customHeight="1">
      <c r="B481" s="21"/>
    </row>
    <row r="482" ht="15.75" customHeight="1">
      <c r="B482" s="21"/>
    </row>
    <row r="483" ht="15.75" customHeight="1">
      <c r="B483" s="21"/>
    </row>
    <row r="484" ht="15.75" customHeight="1">
      <c r="B484" s="21"/>
    </row>
    <row r="485" ht="15.75" customHeight="1">
      <c r="B485" s="21"/>
    </row>
    <row r="486" ht="15.75" customHeight="1">
      <c r="B486" s="21"/>
    </row>
    <row r="487" ht="15.75" customHeight="1">
      <c r="B487" s="21"/>
    </row>
    <row r="488" ht="15.75" customHeight="1">
      <c r="B488" s="21"/>
    </row>
    <row r="489" ht="15.75" customHeight="1">
      <c r="B489" s="21"/>
    </row>
    <row r="490" ht="15.75" customHeight="1">
      <c r="B490" s="21"/>
    </row>
    <row r="491" ht="15.75" customHeight="1">
      <c r="B491" s="21"/>
    </row>
    <row r="492" ht="15.75" customHeight="1">
      <c r="B492" s="21"/>
    </row>
    <row r="493" ht="15.75" customHeight="1">
      <c r="B493" s="21"/>
    </row>
    <row r="494" ht="15.75" customHeight="1">
      <c r="B494" s="21"/>
    </row>
    <row r="495" ht="15.75" customHeight="1">
      <c r="B495" s="21"/>
    </row>
    <row r="496" ht="15.75" customHeight="1">
      <c r="B496" s="21"/>
    </row>
    <row r="497" ht="15.75" customHeight="1">
      <c r="B497" s="21"/>
    </row>
    <row r="498" ht="15.75" customHeight="1">
      <c r="B498" s="21"/>
    </row>
    <row r="499" ht="15.75" customHeight="1">
      <c r="B499" s="21"/>
    </row>
    <row r="500" ht="15.75" customHeight="1">
      <c r="B500" s="21"/>
    </row>
    <row r="501" ht="15.75" customHeight="1">
      <c r="B501" s="21"/>
    </row>
    <row r="502" ht="15.75" customHeight="1">
      <c r="B502" s="21"/>
    </row>
    <row r="503" ht="15.75" customHeight="1">
      <c r="B503" s="21"/>
    </row>
    <row r="504" ht="15.75" customHeight="1">
      <c r="B504" s="21"/>
    </row>
    <row r="505" ht="15.75" customHeight="1">
      <c r="B505" s="21"/>
    </row>
    <row r="506" ht="15.75" customHeight="1">
      <c r="B506" s="21"/>
    </row>
    <row r="507" ht="15.75" customHeight="1">
      <c r="B507" s="21"/>
    </row>
    <row r="508" ht="15.75" customHeight="1">
      <c r="B508" s="21"/>
    </row>
    <row r="509" ht="15.75" customHeight="1">
      <c r="B509" s="21"/>
    </row>
    <row r="510" ht="15.75" customHeight="1">
      <c r="B510" s="21"/>
    </row>
    <row r="511" ht="15.75" customHeight="1">
      <c r="B511" s="21"/>
    </row>
    <row r="512" ht="15.75" customHeight="1">
      <c r="B512" s="21"/>
    </row>
    <row r="513" ht="15.75" customHeight="1">
      <c r="B513" s="21"/>
    </row>
    <row r="514" ht="15.75" customHeight="1">
      <c r="B514" s="21"/>
    </row>
    <row r="515" ht="15.75" customHeight="1">
      <c r="B515" s="21"/>
    </row>
    <row r="516" ht="15.75" customHeight="1">
      <c r="B516" s="21"/>
    </row>
    <row r="517" ht="15.75" customHeight="1">
      <c r="B517" s="21"/>
    </row>
    <row r="518" ht="15.75" customHeight="1">
      <c r="B518" s="21"/>
    </row>
    <row r="519" ht="15.75" customHeight="1">
      <c r="B519" s="21"/>
    </row>
    <row r="520" ht="15.75" customHeight="1">
      <c r="B520" s="21"/>
    </row>
    <row r="521" ht="15.75" customHeight="1">
      <c r="B521" s="21"/>
    </row>
    <row r="522" ht="15.75" customHeight="1">
      <c r="B522" s="21"/>
    </row>
    <row r="523" ht="15.75" customHeight="1">
      <c r="B523" s="21"/>
    </row>
    <row r="524" ht="15.75" customHeight="1">
      <c r="B524" s="21"/>
    </row>
    <row r="525" ht="15.75" customHeight="1">
      <c r="B525" s="21"/>
    </row>
    <row r="526" ht="15.75" customHeight="1">
      <c r="B526" s="21"/>
    </row>
    <row r="527" ht="15.75" customHeight="1">
      <c r="B527" s="21"/>
    </row>
    <row r="528" ht="15.75" customHeight="1">
      <c r="B528" s="21"/>
    </row>
    <row r="529" ht="15.75" customHeight="1">
      <c r="B529" s="21"/>
    </row>
    <row r="530" ht="15.75" customHeight="1">
      <c r="B530" s="21"/>
    </row>
    <row r="531" ht="15.75" customHeight="1">
      <c r="B531" s="21"/>
    </row>
    <row r="532" ht="15.75" customHeight="1">
      <c r="B532" s="21"/>
    </row>
    <row r="533" ht="15.75" customHeight="1">
      <c r="B533" s="21"/>
    </row>
    <row r="534" ht="15.75" customHeight="1">
      <c r="B534" s="21"/>
    </row>
    <row r="535" ht="15.75" customHeight="1">
      <c r="B535" s="21"/>
    </row>
    <row r="536" ht="15.75" customHeight="1">
      <c r="B536" s="21"/>
    </row>
    <row r="537" ht="15.75" customHeight="1">
      <c r="B537" s="21"/>
    </row>
    <row r="538" ht="15.75" customHeight="1">
      <c r="B538" s="21"/>
    </row>
    <row r="539" ht="15.75" customHeight="1">
      <c r="B539" s="21"/>
    </row>
    <row r="540" ht="15.75" customHeight="1">
      <c r="B540" s="21"/>
    </row>
    <row r="541" ht="15.75" customHeight="1">
      <c r="B541" s="21"/>
    </row>
    <row r="542" ht="15.75" customHeight="1">
      <c r="B542" s="21"/>
    </row>
    <row r="543" ht="15.75" customHeight="1">
      <c r="B543" s="21"/>
    </row>
    <row r="544" ht="15.75" customHeight="1">
      <c r="B544" s="21"/>
    </row>
    <row r="545" ht="15.75" customHeight="1">
      <c r="B545" s="21"/>
    </row>
    <row r="546" ht="15.75" customHeight="1">
      <c r="B546" s="21"/>
    </row>
    <row r="547" ht="15.75" customHeight="1">
      <c r="B547" s="21"/>
    </row>
    <row r="548" ht="15.75" customHeight="1">
      <c r="B548" s="21"/>
    </row>
    <row r="549" ht="15.75" customHeight="1">
      <c r="B549" s="21"/>
    </row>
    <row r="550" ht="15.75" customHeight="1">
      <c r="B550" s="21"/>
    </row>
    <row r="551" ht="15.75" customHeight="1">
      <c r="B551" s="21"/>
    </row>
    <row r="552" ht="15.75" customHeight="1">
      <c r="B552" s="21"/>
    </row>
    <row r="553" ht="15.75" customHeight="1">
      <c r="B553" s="21"/>
    </row>
    <row r="554" ht="15.75" customHeight="1">
      <c r="B554" s="21"/>
    </row>
    <row r="555" ht="15.75" customHeight="1">
      <c r="B555" s="21"/>
    </row>
    <row r="556" ht="15.75" customHeight="1">
      <c r="B556" s="21"/>
    </row>
    <row r="557" ht="15.75" customHeight="1">
      <c r="B557" s="21"/>
    </row>
    <row r="558" ht="15.75" customHeight="1">
      <c r="B558" s="21"/>
    </row>
    <row r="559" ht="15.75" customHeight="1">
      <c r="B559" s="21"/>
    </row>
    <row r="560" ht="15.75" customHeight="1">
      <c r="B560" s="21"/>
    </row>
    <row r="561" ht="15.75" customHeight="1">
      <c r="B561" s="21"/>
    </row>
    <row r="562" ht="15.75" customHeight="1">
      <c r="B562" s="21"/>
    </row>
    <row r="563" ht="15.75" customHeight="1">
      <c r="B563" s="21"/>
    </row>
    <row r="564" ht="15.75" customHeight="1">
      <c r="B564" s="21"/>
    </row>
    <row r="565" ht="15.75" customHeight="1">
      <c r="B565" s="21"/>
    </row>
    <row r="566" ht="15.75" customHeight="1">
      <c r="B566" s="21"/>
    </row>
    <row r="567" ht="15.75" customHeight="1">
      <c r="B567" s="21"/>
    </row>
    <row r="568" ht="15.75" customHeight="1">
      <c r="B568" s="21"/>
    </row>
    <row r="569" ht="15.75" customHeight="1">
      <c r="B569" s="21"/>
    </row>
    <row r="570" ht="15.75" customHeight="1">
      <c r="B570" s="21"/>
    </row>
    <row r="571" ht="15.75" customHeight="1">
      <c r="B571" s="21"/>
    </row>
    <row r="572" ht="15.75" customHeight="1">
      <c r="B572" s="21"/>
    </row>
    <row r="573" ht="15.75" customHeight="1">
      <c r="B573" s="21"/>
    </row>
    <row r="574" ht="15.75" customHeight="1">
      <c r="B574" s="21"/>
    </row>
    <row r="575" ht="15.75" customHeight="1">
      <c r="B575" s="21"/>
    </row>
    <row r="576" ht="15.75" customHeight="1">
      <c r="B576" s="21"/>
    </row>
    <row r="577" ht="15.75" customHeight="1">
      <c r="B577" s="21"/>
    </row>
    <row r="578" ht="15.75" customHeight="1">
      <c r="B578" s="21"/>
    </row>
    <row r="579" ht="15.75" customHeight="1">
      <c r="B579" s="21"/>
    </row>
    <row r="580" ht="15.75" customHeight="1">
      <c r="B580" s="21"/>
    </row>
    <row r="581" ht="15.75" customHeight="1">
      <c r="B581" s="21"/>
    </row>
    <row r="582" ht="15.75" customHeight="1">
      <c r="B582" s="21"/>
    </row>
    <row r="583" ht="15.75" customHeight="1">
      <c r="B583" s="21"/>
    </row>
    <row r="584" ht="15.75" customHeight="1">
      <c r="B584" s="21"/>
    </row>
    <row r="585" ht="15.75" customHeight="1">
      <c r="B585" s="21"/>
    </row>
    <row r="586" ht="15.75" customHeight="1">
      <c r="B586" s="21"/>
    </row>
    <row r="587" ht="15.75" customHeight="1">
      <c r="B587" s="21"/>
    </row>
    <row r="588" ht="15.75" customHeight="1">
      <c r="B588" s="21"/>
    </row>
    <row r="589" ht="15.75" customHeight="1">
      <c r="B589" s="21"/>
    </row>
    <row r="590" ht="15.75" customHeight="1">
      <c r="B590" s="21"/>
    </row>
    <row r="591" ht="15.75" customHeight="1">
      <c r="B591" s="21"/>
    </row>
    <row r="592" ht="15.75" customHeight="1">
      <c r="B592" s="21"/>
    </row>
    <row r="593" ht="15.75" customHeight="1">
      <c r="B593" s="21"/>
    </row>
    <row r="594" ht="15.75" customHeight="1">
      <c r="B594" s="21"/>
    </row>
    <row r="595" ht="15.75" customHeight="1">
      <c r="B595" s="21"/>
    </row>
    <row r="596" ht="15.75" customHeight="1">
      <c r="B596" s="21"/>
    </row>
    <row r="597" ht="15.75" customHeight="1">
      <c r="B597" s="21"/>
    </row>
    <row r="598" ht="15.75" customHeight="1">
      <c r="B598" s="21"/>
    </row>
    <row r="599" ht="15.75" customHeight="1">
      <c r="B599" s="21"/>
    </row>
    <row r="600" ht="15.75" customHeight="1">
      <c r="B600" s="21"/>
    </row>
    <row r="601" ht="15.75" customHeight="1">
      <c r="B601" s="21"/>
    </row>
    <row r="602" ht="15.75" customHeight="1">
      <c r="B602" s="21"/>
    </row>
    <row r="603" ht="15.75" customHeight="1">
      <c r="B603" s="21"/>
    </row>
    <row r="604" ht="15.75" customHeight="1">
      <c r="B604" s="21"/>
    </row>
    <row r="605" ht="15.75" customHeight="1">
      <c r="B605" s="21"/>
    </row>
    <row r="606" ht="15.75" customHeight="1">
      <c r="B606" s="21"/>
    </row>
    <row r="607" ht="15.75" customHeight="1">
      <c r="B607" s="21"/>
    </row>
    <row r="608" ht="15.75" customHeight="1">
      <c r="B608" s="21"/>
    </row>
    <row r="609" ht="15.75" customHeight="1">
      <c r="B609" s="21"/>
    </row>
    <row r="610" ht="15.75" customHeight="1">
      <c r="B610" s="21"/>
    </row>
    <row r="611" ht="15.75" customHeight="1">
      <c r="B611" s="21"/>
    </row>
    <row r="612" ht="15.75" customHeight="1">
      <c r="B612" s="21"/>
    </row>
    <row r="613" ht="15.75" customHeight="1">
      <c r="B613" s="21"/>
    </row>
    <row r="614" ht="15.75" customHeight="1">
      <c r="B614" s="21"/>
    </row>
    <row r="615" ht="15.75" customHeight="1">
      <c r="B615" s="21"/>
    </row>
    <row r="616" ht="15.75" customHeight="1">
      <c r="B616" s="21"/>
    </row>
    <row r="617" ht="15.75" customHeight="1">
      <c r="B617" s="21"/>
    </row>
    <row r="618" ht="15.75" customHeight="1">
      <c r="B618" s="21"/>
    </row>
    <row r="619" ht="15.75" customHeight="1">
      <c r="B619" s="21"/>
    </row>
    <row r="620" ht="15.75" customHeight="1">
      <c r="B620" s="21"/>
    </row>
    <row r="621" ht="15.75" customHeight="1">
      <c r="B621" s="21"/>
    </row>
    <row r="622" ht="15.75" customHeight="1">
      <c r="B622" s="21"/>
    </row>
    <row r="623" ht="15.75" customHeight="1">
      <c r="B623" s="21"/>
    </row>
    <row r="624" ht="15.75" customHeight="1">
      <c r="B624" s="21"/>
    </row>
    <row r="625" ht="15.75" customHeight="1">
      <c r="B625" s="21"/>
    </row>
    <row r="626" ht="15.75" customHeight="1">
      <c r="B626" s="21"/>
    </row>
    <row r="627" ht="15.75" customHeight="1">
      <c r="B627" s="21"/>
    </row>
    <row r="628" ht="15.75" customHeight="1">
      <c r="B628" s="21"/>
    </row>
    <row r="629" ht="15.75" customHeight="1">
      <c r="B629" s="21"/>
    </row>
    <row r="630" ht="15.75" customHeight="1">
      <c r="B630" s="21"/>
    </row>
    <row r="631" ht="15.75" customHeight="1">
      <c r="B631" s="21"/>
    </row>
    <row r="632" ht="15.75" customHeight="1">
      <c r="B632" s="21"/>
    </row>
    <row r="633" ht="15.75" customHeight="1">
      <c r="B633" s="21"/>
    </row>
    <row r="634" ht="15.75" customHeight="1">
      <c r="B634" s="21"/>
    </row>
    <row r="635" ht="15.75" customHeight="1">
      <c r="B635" s="21"/>
    </row>
    <row r="636" ht="15.75" customHeight="1">
      <c r="B636" s="21"/>
    </row>
    <row r="637" ht="15.75" customHeight="1">
      <c r="B637" s="21"/>
    </row>
    <row r="638" ht="15.75" customHeight="1">
      <c r="B638" s="21"/>
    </row>
    <row r="639" ht="15.75" customHeight="1">
      <c r="B639" s="21"/>
    </row>
    <row r="640" ht="15.75" customHeight="1">
      <c r="B640" s="21"/>
    </row>
    <row r="641" ht="15.75" customHeight="1">
      <c r="B641" s="21"/>
    </row>
    <row r="642" ht="15.75" customHeight="1">
      <c r="B642" s="21"/>
    </row>
    <row r="643" ht="15.75" customHeight="1">
      <c r="B643" s="21"/>
    </row>
    <row r="644" ht="15.75" customHeight="1">
      <c r="B644" s="21"/>
    </row>
    <row r="645" ht="15.75" customHeight="1">
      <c r="B645" s="21"/>
    </row>
    <row r="646" ht="15.75" customHeight="1">
      <c r="B646" s="21"/>
    </row>
    <row r="647" ht="15.75" customHeight="1">
      <c r="B647" s="21"/>
    </row>
    <row r="648" ht="15.75" customHeight="1">
      <c r="B648" s="21"/>
    </row>
    <row r="649" ht="15.75" customHeight="1">
      <c r="B649" s="21"/>
    </row>
    <row r="650" ht="15.75" customHeight="1">
      <c r="B650" s="21"/>
    </row>
    <row r="651" ht="15.75" customHeight="1">
      <c r="B651" s="21"/>
    </row>
    <row r="652" ht="15.75" customHeight="1">
      <c r="B652" s="21"/>
    </row>
    <row r="653" ht="15.75" customHeight="1">
      <c r="B653" s="21"/>
    </row>
    <row r="654" ht="15.75" customHeight="1">
      <c r="B654" s="21"/>
    </row>
    <row r="655" ht="15.75" customHeight="1">
      <c r="B655" s="21"/>
    </row>
    <row r="656" ht="15.75" customHeight="1">
      <c r="B656" s="21"/>
    </row>
    <row r="657" ht="15.75" customHeight="1">
      <c r="B657" s="21"/>
    </row>
    <row r="658" ht="15.75" customHeight="1">
      <c r="B658" s="21"/>
    </row>
    <row r="659" ht="15.75" customHeight="1">
      <c r="B659" s="21"/>
    </row>
    <row r="660" ht="15.75" customHeight="1">
      <c r="B660" s="21"/>
    </row>
    <row r="661" ht="15.75" customHeight="1">
      <c r="B661" s="21"/>
    </row>
    <row r="662" ht="15.75" customHeight="1">
      <c r="B662" s="21"/>
    </row>
    <row r="663" ht="15.75" customHeight="1">
      <c r="B663" s="21"/>
    </row>
    <row r="664" ht="15.75" customHeight="1">
      <c r="B664" s="21"/>
    </row>
    <row r="665" ht="15.75" customHeight="1">
      <c r="B665" s="21"/>
    </row>
    <row r="666" ht="15.75" customHeight="1">
      <c r="B666" s="21"/>
    </row>
    <row r="667" ht="15.75" customHeight="1">
      <c r="B667" s="21"/>
    </row>
    <row r="668" ht="15.75" customHeight="1">
      <c r="B668" s="21"/>
    </row>
    <row r="669" ht="15.75" customHeight="1">
      <c r="B669" s="21"/>
    </row>
    <row r="670" ht="15.75" customHeight="1">
      <c r="B670" s="21"/>
    </row>
    <row r="671" ht="15.75" customHeight="1">
      <c r="B671" s="21"/>
    </row>
    <row r="672" ht="15.75" customHeight="1">
      <c r="B672" s="21"/>
    </row>
    <row r="673" ht="15.75" customHeight="1">
      <c r="B673" s="21"/>
    </row>
    <row r="674" ht="15.75" customHeight="1">
      <c r="B674" s="21"/>
    </row>
    <row r="675" ht="15.75" customHeight="1">
      <c r="B675" s="21"/>
    </row>
    <row r="676" ht="15.75" customHeight="1">
      <c r="B676" s="21"/>
    </row>
    <row r="677" ht="15.75" customHeight="1">
      <c r="B677" s="21"/>
    </row>
    <row r="678" ht="15.75" customHeight="1">
      <c r="B678" s="21"/>
    </row>
    <row r="679" ht="15.75" customHeight="1">
      <c r="B679" s="21"/>
    </row>
    <row r="680" ht="15.75" customHeight="1">
      <c r="B680" s="21"/>
    </row>
    <row r="681" ht="15.75" customHeight="1">
      <c r="B681" s="21"/>
    </row>
    <row r="682" ht="15.75" customHeight="1">
      <c r="B682" s="21"/>
    </row>
    <row r="683" ht="15.75" customHeight="1">
      <c r="B683" s="21"/>
    </row>
    <row r="684" ht="15.75" customHeight="1">
      <c r="B684" s="21"/>
    </row>
    <row r="685" ht="15.75" customHeight="1">
      <c r="B685" s="21"/>
    </row>
    <row r="686" ht="15.75" customHeight="1">
      <c r="B686" s="21"/>
    </row>
    <row r="687" ht="15.75" customHeight="1">
      <c r="B687" s="21"/>
    </row>
    <row r="688" ht="15.75" customHeight="1">
      <c r="B688" s="21"/>
    </row>
    <row r="689" ht="15.75" customHeight="1">
      <c r="B689" s="21"/>
    </row>
    <row r="690" ht="15.75" customHeight="1">
      <c r="B690" s="21"/>
    </row>
    <row r="691" ht="15.75" customHeight="1">
      <c r="B691" s="21"/>
    </row>
    <row r="692" ht="15.75" customHeight="1">
      <c r="B692" s="21"/>
    </row>
    <row r="693" ht="15.75" customHeight="1">
      <c r="B693" s="21"/>
    </row>
    <row r="694" ht="15.75" customHeight="1">
      <c r="B694" s="21"/>
    </row>
    <row r="695" ht="15.75" customHeight="1">
      <c r="B695" s="21"/>
    </row>
    <row r="696" ht="15.75" customHeight="1">
      <c r="B696" s="21"/>
    </row>
    <row r="697" ht="15.75" customHeight="1">
      <c r="B697" s="21"/>
    </row>
    <row r="698" ht="15.75" customHeight="1">
      <c r="B698" s="21"/>
    </row>
    <row r="699" ht="15.75" customHeight="1">
      <c r="B699" s="21"/>
    </row>
    <row r="700" ht="15.75" customHeight="1">
      <c r="B700" s="21"/>
    </row>
    <row r="701" ht="15.75" customHeight="1">
      <c r="B701" s="21"/>
    </row>
    <row r="702" ht="15.75" customHeight="1">
      <c r="B702" s="21"/>
    </row>
    <row r="703" ht="15.75" customHeight="1">
      <c r="B703" s="21"/>
    </row>
    <row r="704" ht="15.75" customHeight="1">
      <c r="B704" s="21"/>
    </row>
    <row r="705" ht="15.75" customHeight="1">
      <c r="B705" s="21"/>
    </row>
    <row r="706" ht="15.75" customHeight="1">
      <c r="B706" s="21"/>
    </row>
    <row r="707" ht="15.75" customHeight="1">
      <c r="B707" s="21"/>
    </row>
    <row r="708" ht="15.75" customHeight="1">
      <c r="B708" s="21"/>
    </row>
    <row r="709" ht="15.75" customHeight="1">
      <c r="B709" s="21"/>
    </row>
    <row r="710" ht="15.75" customHeight="1">
      <c r="B710" s="21"/>
    </row>
    <row r="711" ht="15.75" customHeight="1">
      <c r="B711" s="21"/>
    </row>
    <row r="712" ht="15.75" customHeight="1">
      <c r="B712" s="21"/>
    </row>
    <row r="713" ht="15.75" customHeight="1">
      <c r="B713" s="21"/>
    </row>
    <row r="714" ht="15.75" customHeight="1">
      <c r="B714" s="21"/>
    </row>
    <row r="715" ht="15.75" customHeight="1">
      <c r="B715" s="21"/>
    </row>
    <row r="716" ht="15.75" customHeight="1">
      <c r="B716" s="21"/>
    </row>
    <row r="717" ht="15.75" customHeight="1">
      <c r="B717" s="21"/>
    </row>
    <row r="718" ht="15.75" customHeight="1">
      <c r="B718" s="21"/>
    </row>
    <row r="719" ht="15.75" customHeight="1">
      <c r="B719" s="21"/>
    </row>
    <row r="720" ht="15.75" customHeight="1">
      <c r="B720" s="21"/>
    </row>
    <row r="721" ht="15.75" customHeight="1">
      <c r="B721" s="21"/>
    </row>
    <row r="722" ht="15.75" customHeight="1">
      <c r="B722" s="21"/>
    </row>
    <row r="723" ht="15.75" customHeight="1">
      <c r="B723" s="21"/>
    </row>
    <row r="724" ht="15.75" customHeight="1">
      <c r="B724" s="21"/>
    </row>
    <row r="725" ht="15.75" customHeight="1">
      <c r="B725" s="21"/>
    </row>
    <row r="726" ht="15.75" customHeight="1">
      <c r="B726" s="21"/>
    </row>
    <row r="727" ht="15.75" customHeight="1">
      <c r="B727" s="21"/>
    </row>
    <row r="728" ht="15.75" customHeight="1">
      <c r="B728" s="21"/>
    </row>
    <row r="729" ht="15.75" customHeight="1">
      <c r="B729" s="21"/>
    </row>
    <row r="730" ht="15.75" customHeight="1">
      <c r="B730" s="21"/>
    </row>
    <row r="731" ht="15.75" customHeight="1">
      <c r="B731" s="21"/>
    </row>
    <row r="732" ht="15.75" customHeight="1">
      <c r="B732" s="21"/>
    </row>
    <row r="733" ht="15.75" customHeight="1">
      <c r="B733" s="21"/>
    </row>
    <row r="734" ht="15.75" customHeight="1">
      <c r="B734" s="21"/>
    </row>
    <row r="735" ht="15.75" customHeight="1">
      <c r="B735" s="21"/>
    </row>
    <row r="736" ht="15.75" customHeight="1">
      <c r="B736" s="21"/>
    </row>
    <row r="737" ht="15.75" customHeight="1">
      <c r="B737" s="21"/>
    </row>
    <row r="738" ht="15.75" customHeight="1">
      <c r="B738" s="21"/>
    </row>
    <row r="739" ht="15.75" customHeight="1">
      <c r="B739" s="21"/>
    </row>
    <row r="740" ht="15.75" customHeight="1">
      <c r="B740" s="21"/>
    </row>
    <row r="741" ht="15.75" customHeight="1">
      <c r="B741" s="21"/>
    </row>
    <row r="742" ht="15.75" customHeight="1">
      <c r="B742" s="21"/>
    </row>
    <row r="743" ht="15.75" customHeight="1">
      <c r="B743" s="21"/>
    </row>
    <row r="744" ht="15.75" customHeight="1">
      <c r="B744" s="21"/>
    </row>
    <row r="745" ht="15.75" customHeight="1">
      <c r="B745" s="21"/>
    </row>
    <row r="746" ht="15.75" customHeight="1">
      <c r="B746" s="21"/>
    </row>
    <row r="747" ht="15.75" customHeight="1">
      <c r="B747" s="21"/>
    </row>
    <row r="748" ht="15.75" customHeight="1">
      <c r="B748" s="21"/>
    </row>
    <row r="749" ht="15.75" customHeight="1">
      <c r="B749" s="21"/>
    </row>
    <row r="750" ht="15.75" customHeight="1">
      <c r="B750" s="21"/>
    </row>
    <row r="751" ht="15.75" customHeight="1">
      <c r="B751" s="21"/>
    </row>
    <row r="752" ht="15.75" customHeight="1">
      <c r="B752" s="21"/>
    </row>
    <row r="753" ht="15.75" customHeight="1">
      <c r="B753" s="21"/>
    </row>
    <row r="754" ht="15.75" customHeight="1">
      <c r="B754" s="21"/>
    </row>
    <row r="755" ht="15.75" customHeight="1">
      <c r="B755" s="21"/>
    </row>
    <row r="756" ht="15.75" customHeight="1">
      <c r="B756" s="21"/>
    </row>
    <row r="757" ht="15.75" customHeight="1">
      <c r="B757" s="21"/>
    </row>
    <row r="758" ht="15.75" customHeight="1">
      <c r="B758" s="21"/>
    </row>
    <row r="759" ht="15.75" customHeight="1">
      <c r="B759" s="21"/>
    </row>
    <row r="760" ht="15.75" customHeight="1">
      <c r="B760" s="21"/>
    </row>
    <row r="761" ht="15.75" customHeight="1">
      <c r="B761" s="21"/>
    </row>
    <row r="762" ht="15.75" customHeight="1">
      <c r="B762" s="21"/>
    </row>
    <row r="763" ht="15.75" customHeight="1">
      <c r="B763" s="21"/>
    </row>
    <row r="764" ht="15.75" customHeight="1">
      <c r="B764" s="21"/>
    </row>
    <row r="765" ht="15.75" customHeight="1">
      <c r="B765" s="21"/>
    </row>
    <row r="766" ht="15.75" customHeight="1">
      <c r="B766" s="21"/>
    </row>
    <row r="767" ht="15.75" customHeight="1">
      <c r="B767" s="21"/>
    </row>
    <row r="768" ht="15.75" customHeight="1">
      <c r="B768" s="21"/>
    </row>
    <row r="769" ht="15.75" customHeight="1">
      <c r="B769" s="21"/>
    </row>
    <row r="770" ht="15.75" customHeight="1">
      <c r="B770" s="21"/>
    </row>
    <row r="771" ht="15.75" customHeight="1">
      <c r="B771" s="21"/>
    </row>
    <row r="772" ht="15.75" customHeight="1">
      <c r="B772" s="21"/>
    </row>
    <row r="773" ht="15.75" customHeight="1">
      <c r="B773" s="21"/>
    </row>
    <row r="774" ht="15.75" customHeight="1">
      <c r="B774" s="21"/>
    </row>
    <row r="775" ht="15.75" customHeight="1">
      <c r="B775" s="21"/>
    </row>
    <row r="776" ht="15.75" customHeight="1">
      <c r="B776" s="21"/>
    </row>
    <row r="777" ht="15.75" customHeight="1">
      <c r="B777" s="21"/>
    </row>
    <row r="778" ht="15.75" customHeight="1">
      <c r="B778" s="21"/>
    </row>
    <row r="779" ht="15.75" customHeight="1">
      <c r="B779" s="21"/>
    </row>
    <row r="780" ht="15.75" customHeight="1">
      <c r="B780" s="21"/>
    </row>
    <row r="781" ht="15.75" customHeight="1">
      <c r="B781" s="21"/>
    </row>
    <row r="782" ht="15.75" customHeight="1">
      <c r="B782" s="21"/>
    </row>
    <row r="783" ht="15.75" customHeight="1">
      <c r="B783" s="21"/>
    </row>
    <row r="784" ht="15.75" customHeight="1">
      <c r="B784" s="21"/>
    </row>
    <row r="785" ht="15.75" customHeight="1">
      <c r="B785" s="21"/>
    </row>
    <row r="786" ht="15.75" customHeight="1">
      <c r="B786" s="21"/>
    </row>
    <row r="787" ht="15.75" customHeight="1">
      <c r="B787" s="21"/>
    </row>
    <row r="788" ht="15.75" customHeight="1">
      <c r="B788" s="21"/>
    </row>
    <row r="789" ht="15.75" customHeight="1">
      <c r="B789" s="21"/>
    </row>
    <row r="790" ht="15.75" customHeight="1">
      <c r="B790" s="21"/>
    </row>
    <row r="791" ht="15.75" customHeight="1">
      <c r="B791" s="21"/>
    </row>
    <row r="792" ht="15.75" customHeight="1">
      <c r="B792" s="21"/>
    </row>
    <row r="793" ht="15.75" customHeight="1">
      <c r="B793" s="21"/>
    </row>
    <row r="794" ht="15.75" customHeight="1">
      <c r="B794" s="21"/>
    </row>
    <row r="795" ht="15.75" customHeight="1">
      <c r="B795" s="21"/>
    </row>
    <row r="796" ht="15.75" customHeight="1">
      <c r="B796" s="21"/>
    </row>
    <row r="797" ht="15.75" customHeight="1">
      <c r="B797" s="21"/>
    </row>
    <row r="798" ht="15.75" customHeight="1">
      <c r="B798" s="21"/>
    </row>
    <row r="799" ht="15.75" customHeight="1">
      <c r="B799" s="21"/>
    </row>
    <row r="800" ht="15.75" customHeight="1">
      <c r="B800" s="21"/>
    </row>
    <row r="801" ht="15.75" customHeight="1">
      <c r="B801" s="21"/>
    </row>
    <row r="802" ht="15.75" customHeight="1">
      <c r="B802" s="21"/>
    </row>
    <row r="803" ht="15.75" customHeight="1">
      <c r="B803" s="21"/>
    </row>
    <row r="804" ht="15.75" customHeight="1">
      <c r="B804" s="21"/>
    </row>
    <row r="805" ht="15.75" customHeight="1">
      <c r="B805" s="21"/>
    </row>
    <row r="806" ht="15.75" customHeight="1">
      <c r="B806" s="21"/>
    </row>
    <row r="807" ht="15.75" customHeight="1">
      <c r="B807" s="21"/>
    </row>
    <row r="808" ht="15.75" customHeight="1">
      <c r="B808" s="21"/>
    </row>
    <row r="809" ht="15.75" customHeight="1">
      <c r="B809" s="21"/>
    </row>
    <row r="810" ht="15.75" customHeight="1">
      <c r="B810" s="21"/>
    </row>
    <row r="811" ht="15.75" customHeight="1">
      <c r="B811" s="21"/>
    </row>
    <row r="812" ht="15.75" customHeight="1">
      <c r="B812" s="21"/>
    </row>
    <row r="813" ht="15.75" customHeight="1">
      <c r="B813" s="21"/>
    </row>
    <row r="814" ht="15.75" customHeight="1">
      <c r="B814" s="21"/>
    </row>
    <row r="815" ht="15.75" customHeight="1">
      <c r="B815" s="21"/>
    </row>
    <row r="816" ht="15.75" customHeight="1">
      <c r="B816" s="21"/>
    </row>
    <row r="817" ht="15.75" customHeight="1">
      <c r="B817" s="21"/>
    </row>
    <row r="818" ht="15.75" customHeight="1">
      <c r="B818" s="21"/>
    </row>
    <row r="819" ht="15.75" customHeight="1">
      <c r="B819" s="21"/>
    </row>
    <row r="820" ht="15.75" customHeight="1">
      <c r="B820" s="21"/>
    </row>
    <row r="821" ht="15.75" customHeight="1">
      <c r="B821" s="21"/>
    </row>
    <row r="822" ht="15.75" customHeight="1">
      <c r="B822" s="21"/>
    </row>
    <row r="823" ht="15.75" customHeight="1">
      <c r="B823" s="21"/>
    </row>
    <row r="824" ht="15.75" customHeight="1">
      <c r="B824" s="21"/>
    </row>
    <row r="825" ht="15.75" customHeight="1">
      <c r="B825" s="21"/>
    </row>
    <row r="826" ht="15.75" customHeight="1">
      <c r="B826" s="21"/>
    </row>
    <row r="827" ht="15.75" customHeight="1">
      <c r="B827" s="21"/>
    </row>
    <row r="828" ht="15.75" customHeight="1">
      <c r="B828" s="21"/>
    </row>
    <row r="829" ht="15.75" customHeight="1">
      <c r="B829" s="21"/>
    </row>
    <row r="830" ht="15.75" customHeight="1">
      <c r="B830" s="21"/>
    </row>
    <row r="831" ht="15.75" customHeight="1">
      <c r="B831" s="21"/>
    </row>
    <row r="832" ht="15.75" customHeight="1">
      <c r="B832" s="21"/>
    </row>
    <row r="833" ht="15.75" customHeight="1">
      <c r="B833" s="21"/>
    </row>
    <row r="834" ht="15.75" customHeight="1">
      <c r="B834" s="21"/>
    </row>
    <row r="835" ht="15.75" customHeight="1">
      <c r="B835" s="21"/>
    </row>
    <row r="836" ht="15.75" customHeight="1">
      <c r="B836" s="21"/>
    </row>
    <row r="837" ht="15.75" customHeight="1">
      <c r="B837" s="21"/>
    </row>
    <row r="838" ht="15.75" customHeight="1">
      <c r="B838" s="21"/>
    </row>
    <row r="839" ht="15.75" customHeight="1">
      <c r="B839" s="21"/>
    </row>
    <row r="840" ht="15.75" customHeight="1">
      <c r="B840" s="21"/>
    </row>
    <row r="841" ht="15.75" customHeight="1">
      <c r="B841" s="21"/>
    </row>
    <row r="842" ht="15.75" customHeight="1">
      <c r="B842" s="21"/>
    </row>
    <row r="843" ht="15.75" customHeight="1">
      <c r="B843" s="21"/>
    </row>
    <row r="844" ht="15.75" customHeight="1">
      <c r="B844" s="21"/>
    </row>
    <row r="845" ht="15.75" customHeight="1">
      <c r="B845" s="21"/>
    </row>
    <row r="846" ht="15.75" customHeight="1">
      <c r="B846" s="21"/>
    </row>
    <row r="847" ht="15.75" customHeight="1">
      <c r="B847" s="21"/>
    </row>
    <row r="848" ht="15.75" customHeight="1">
      <c r="B848" s="21"/>
    </row>
    <row r="849" ht="15.75" customHeight="1">
      <c r="B849" s="21"/>
    </row>
    <row r="850" ht="15.75" customHeight="1">
      <c r="B850" s="21"/>
    </row>
    <row r="851" ht="15.75" customHeight="1">
      <c r="B851" s="21"/>
    </row>
    <row r="852" ht="15.75" customHeight="1">
      <c r="B852" s="21"/>
    </row>
    <row r="853" ht="15.75" customHeight="1">
      <c r="B853" s="21"/>
    </row>
    <row r="854" ht="15.75" customHeight="1">
      <c r="B854" s="21"/>
    </row>
    <row r="855" ht="15.75" customHeight="1">
      <c r="B855" s="21"/>
    </row>
    <row r="856" ht="15.75" customHeight="1">
      <c r="B856" s="21"/>
    </row>
    <row r="857" ht="15.75" customHeight="1">
      <c r="B857" s="21"/>
    </row>
    <row r="858" ht="15.75" customHeight="1">
      <c r="B858" s="21"/>
    </row>
    <row r="859" ht="15.75" customHeight="1">
      <c r="B859" s="21"/>
    </row>
    <row r="860" ht="15.75" customHeight="1">
      <c r="B860" s="21"/>
    </row>
    <row r="861" ht="15.75" customHeight="1">
      <c r="B861" s="21"/>
    </row>
    <row r="862" ht="15.75" customHeight="1">
      <c r="B862" s="21"/>
    </row>
    <row r="863" ht="15.75" customHeight="1">
      <c r="B863" s="21"/>
    </row>
    <row r="864" ht="15.75" customHeight="1">
      <c r="B864" s="21"/>
    </row>
    <row r="865" ht="15.75" customHeight="1">
      <c r="B865" s="21"/>
    </row>
    <row r="866" ht="15.75" customHeight="1">
      <c r="B866" s="21"/>
    </row>
    <row r="867" ht="15.75" customHeight="1">
      <c r="B867" s="21"/>
    </row>
    <row r="868" ht="15.75" customHeight="1">
      <c r="B868" s="21"/>
    </row>
    <row r="869" ht="15.75" customHeight="1">
      <c r="B869" s="21"/>
    </row>
    <row r="870" ht="15.75" customHeight="1">
      <c r="B870" s="21"/>
    </row>
    <row r="871" ht="15.75" customHeight="1">
      <c r="B871" s="21"/>
    </row>
    <row r="872" ht="15.75" customHeight="1">
      <c r="B872" s="21"/>
    </row>
    <row r="873" ht="15.75" customHeight="1">
      <c r="B873" s="21"/>
    </row>
    <row r="874" ht="15.75" customHeight="1">
      <c r="B874" s="21"/>
    </row>
    <row r="875" ht="15.75" customHeight="1">
      <c r="B875" s="21"/>
    </row>
    <row r="876" ht="15.75" customHeight="1">
      <c r="B876" s="21"/>
    </row>
    <row r="877" ht="15.75" customHeight="1">
      <c r="B877" s="21"/>
    </row>
    <row r="878" ht="15.75" customHeight="1">
      <c r="B878" s="21"/>
    </row>
    <row r="879" ht="15.75" customHeight="1">
      <c r="B879" s="21"/>
    </row>
    <row r="880" ht="15.75" customHeight="1">
      <c r="B880" s="21"/>
    </row>
    <row r="881" ht="15.75" customHeight="1">
      <c r="B881" s="21"/>
    </row>
    <row r="882" ht="15.75" customHeight="1">
      <c r="B882" s="21"/>
    </row>
    <row r="883" ht="15.75" customHeight="1">
      <c r="B883" s="21"/>
    </row>
    <row r="884" ht="15.75" customHeight="1">
      <c r="B884" s="21"/>
    </row>
    <row r="885" ht="15.75" customHeight="1">
      <c r="B885" s="21"/>
    </row>
    <row r="886" ht="15.75" customHeight="1">
      <c r="B886" s="21"/>
    </row>
    <row r="887" ht="15.75" customHeight="1">
      <c r="B887" s="21"/>
    </row>
    <row r="888" ht="15.75" customHeight="1">
      <c r="B888" s="21"/>
    </row>
    <row r="889" ht="15.75" customHeight="1">
      <c r="B889" s="21"/>
    </row>
    <row r="890" ht="15.75" customHeight="1">
      <c r="B890" s="21"/>
    </row>
    <row r="891" ht="15.75" customHeight="1">
      <c r="B891" s="21"/>
    </row>
    <row r="892" ht="15.75" customHeight="1">
      <c r="B892" s="21"/>
    </row>
    <row r="893" ht="15.75" customHeight="1">
      <c r="B893" s="21"/>
    </row>
    <row r="894" ht="15.75" customHeight="1">
      <c r="B894" s="21"/>
    </row>
    <row r="895" ht="15.75" customHeight="1">
      <c r="B895" s="21"/>
    </row>
    <row r="896" ht="15.75" customHeight="1">
      <c r="B896" s="21"/>
    </row>
    <row r="897" ht="15.75" customHeight="1">
      <c r="B897" s="21"/>
    </row>
    <row r="898" ht="15.75" customHeight="1">
      <c r="B898" s="21"/>
    </row>
    <row r="899" ht="15.75" customHeight="1">
      <c r="B899" s="21"/>
    </row>
    <row r="900" ht="15.75" customHeight="1">
      <c r="B900" s="21"/>
    </row>
    <row r="901" ht="15.75" customHeight="1">
      <c r="B901" s="21"/>
    </row>
    <row r="902" ht="15.75" customHeight="1">
      <c r="B902" s="21"/>
    </row>
    <row r="903" ht="15.75" customHeight="1">
      <c r="B903" s="21"/>
    </row>
    <row r="904" ht="15.75" customHeight="1">
      <c r="B904" s="21"/>
    </row>
    <row r="905" ht="15.75" customHeight="1">
      <c r="B905" s="21"/>
    </row>
    <row r="906" ht="15.75" customHeight="1">
      <c r="B906" s="21"/>
    </row>
    <row r="907" ht="15.75" customHeight="1">
      <c r="B907" s="21"/>
    </row>
    <row r="908" ht="15.75" customHeight="1">
      <c r="B908" s="21"/>
    </row>
    <row r="909" ht="15.75" customHeight="1">
      <c r="B909" s="21"/>
    </row>
    <row r="910" ht="15.75" customHeight="1">
      <c r="B910" s="21"/>
    </row>
    <row r="911" ht="15.75" customHeight="1">
      <c r="B911" s="21"/>
    </row>
    <row r="912" ht="15.75" customHeight="1">
      <c r="B912" s="21"/>
    </row>
    <row r="913" ht="15.75" customHeight="1">
      <c r="B913" s="21"/>
    </row>
    <row r="914" ht="15.75" customHeight="1">
      <c r="B914" s="21"/>
    </row>
    <row r="915" ht="15.75" customHeight="1">
      <c r="B915" s="21"/>
    </row>
    <row r="916" ht="15.75" customHeight="1">
      <c r="B916" s="21"/>
    </row>
    <row r="917" ht="15.75" customHeight="1">
      <c r="B917" s="21"/>
    </row>
    <row r="918" ht="15.75" customHeight="1">
      <c r="B918" s="21"/>
    </row>
    <row r="919" ht="15.75" customHeight="1">
      <c r="B919" s="21"/>
    </row>
    <row r="920" ht="15.75" customHeight="1">
      <c r="B920" s="21"/>
    </row>
    <row r="921" ht="15.75" customHeight="1">
      <c r="B921" s="21"/>
    </row>
    <row r="922" ht="15.75" customHeight="1">
      <c r="B922" s="21"/>
    </row>
    <row r="923" ht="15.75" customHeight="1">
      <c r="B923" s="21"/>
    </row>
    <row r="924" ht="15.75" customHeight="1">
      <c r="B924" s="21"/>
    </row>
    <row r="925" ht="15.75" customHeight="1">
      <c r="B925" s="21"/>
    </row>
    <row r="926" ht="15.75" customHeight="1">
      <c r="B926" s="21"/>
    </row>
    <row r="927" ht="15.75" customHeight="1">
      <c r="B927" s="21"/>
    </row>
    <row r="928" ht="15.75" customHeight="1">
      <c r="B928" s="21"/>
    </row>
    <row r="929" ht="15.75" customHeight="1">
      <c r="B929" s="21"/>
    </row>
    <row r="930" ht="15.75" customHeight="1">
      <c r="B930" s="21"/>
    </row>
    <row r="931" ht="15.75" customHeight="1">
      <c r="B931" s="21"/>
    </row>
    <row r="932" ht="15.75" customHeight="1">
      <c r="B932" s="21"/>
    </row>
    <row r="933" ht="15.75" customHeight="1">
      <c r="B933" s="21"/>
    </row>
    <row r="934" ht="15.75" customHeight="1">
      <c r="B934" s="21"/>
    </row>
    <row r="935" ht="15.75" customHeight="1">
      <c r="B935" s="21"/>
    </row>
    <row r="936" ht="15.75" customHeight="1">
      <c r="B936" s="21"/>
    </row>
    <row r="937" ht="15.75" customHeight="1">
      <c r="B937" s="21"/>
    </row>
    <row r="938" ht="15.75" customHeight="1">
      <c r="B938" s="21"/>
    </row>
    <row r="939" ht="15.75" customHeight="1">
      <c r="B939" s="21"/>
    </row>
    <row r="940" ht="15.75" customHeight="1">
      <c r="B940" s="21"/>
    </row>
    <row r="941" ht="15.75" customHeight="1">
      <c r="B941" s="21"/>
    </row>
    <row r="942" ht="15.75" customHeight="1">
      <c r="B942" s="21"/>
    </row>
    <row r="943" ht="15.75" customHeight="1">
      <c r="B943" s="21"/>
    </row>
    <row r="944" ht="15.75" customHeight="1">
      <c r="B944" s="21"/>
    </row>
    <row r="945" ht="15.75" customHeight="1">
      <c r="B945" s="21"/>
    </row>
    <row r="946" ht="15.75" customHeight="1">
      <c r="B946" s="21"/>
    </row>
    <row r="947" ht="15.75" customHeight="1">
      <c r="B947" s="21"/>
    </row>
    <row r="948" ht="15.75" customHeight="1">
      <c r="B948" s="21"/>
    </row>
    <row r="949" ht="15.75" customHeight="1">
      <c r="B949" s="21"/>
    </row>
    <row r="950" ht="15.75" customHeight="1">
      <c r="B950" s="21"/>
    </row>
    <row r="951" ht="15.75" customHeight="1">
      <c r="B951" s="21"/>
    </row>
    <row r="952" ht="15.75" customHeight="1">
      <c r="B952" s="21"/>
    </row>
    <row r="953" ht="15.75" customHeight="1">
      <c r="B953" s="21"/>
    </row>
    <row r="954" ht="15.75" customHeight="1">
      <c r="B954" s="21"/>
    </row>
    <row r="955" ht="15.75" customHeight="1">
      <c r="B955" s="21"/>
    </row>
    <row r="956" ht="15.75" customHeight="1">
      <c r="B956" s="21"/>
    </row>
    <row r="957" ht="15.75" customHeight="1">
      <c r="B957" s="21"/>
    </row>
    <row r="958" ht="15.75" customHeight="1">
      <c r="B958" s="21"/>
    </row>
    <row r="959" ht="15.75" customHeight="1">
      <c r="B959" s="21"/>
    </row>
    <row r="960" ht="15.75" customHeight="1">
      <c r="B960" s="21"/>
    </row>
    <row r="961" ht="15.75" customHeight="1">
      <c r="B961" s="21"/>
    </row>
    <row r="962" ht="15.75" customHeight="1">
      <c r="B962" s="21"/>
    </row>
    <row r="963" ht="15.75" customHeight="1">
      <c r="B963" s="21"/>
    </row>
    <row r="964" ht="15.75" customHeight="1">
      <c r="B964" s="21"/>
    </row>
    <row r="965" ht="15.75" customHeight="1">
      <c r="B965" s="21"/>
    </row>
    <row r="966" ht="15.75" customHeight="1">
      <c r="B966" s="21"/>
    </row>
    <row r="967" ht="15.75" customHeight="1">
      <c r="B967" s="21"/>
    </row>
    <row r="968" ht="15.75" customHeight="1">
      <c r="B968" s="21"/>
    </row>
    <row r="969" ht="15.75" customHeight="1">
      <c r="B969" s="21"/>
    </row>
    <row r="970" ht="15.75" customHeight="1">
      <c r="B970" s="21"/>
    </row>
    <row r="971" ht="15.75" customHeight="1">
      <c r="B971" s="21"/>
    </row>
    <row r="972" ht="15.75" customHeight="1">
      <c r="B972" s="21"/>
    </row>
    <row r="973" ht="15.75" customHeight="1">
      <c r="B973" s="21"/>
    </row>
    <row r="974" ht="15.75" customHeight="1">
      <c r="B974" s="21"/>
    </row>
    <row r="975" ht="15.75" customHeight="1">
      <c r="B975" s="21"/>
    </row>
    <row r="976" ht="15.75" customHeight="1">
      <c r="B976" s="21"/>
    </row>
    <row r="977" ht="15.75" customHeight="1">
      <c r="B977" s="21"/>
    </row>
    <row r="978" ht="15.75" customHeight="1">
      <c r="B978" s="21"/>
    </row>
    <row r="979" ht="15.75" customHeight="1">
      <c r="B979" s="21"/>
    </row>
    <row r="980" ht="15.75" customHeight="1">
      <c r="B980" s="21"/>
    </row>
    <row r="981" ht="15.75" customHeight="1">
      <c r="B981" s="21"/>
    </row>
    <row r="982" ht="15.75" customHeight="1">
      <c r="B982" s="21"/>
    </row>
    <row r="983" ht="15.75" customHeight="1">
      <c r="B983" s="21"/>
    </row>
    <row r="984" ht="15.75" customHeight="1">
      <c r="B984" s="21"/>
    </row>
    <row r="985" ht="15.75" customHeight="1">
      <c r="B985" s="21"/>
    </row>
    <row r="986" ht="15.75" customHeight="1">
      <c r="B986" s="21"/>
    </row>
    <row r="987" ht="15.75" customHeight="1">
      <c r="B987" s="21"/>
    </row>
    <row r="988" ht="15.75" customHeight="1">
      <c r="B988" s="21"/>
    </row>
    <row r="989" ht="15.75" customHeight="1">
      <c r="B989" s="21"/>
    </row>
    <row r="990" ht="15.75" customHeight="1">
      <c r="B990" s="21"/>
    </row>
    <row r="991" ht="15.75" customHeight="1">
      <c r="B991" s="21"/>
    </row>
    <row r="992" ht="15.75" customHeight="1">
      <c r="B992" s="21"/>
    </row>
    <row r="993" ht="15.75" customHeight="1">
      <c r="B993" s="21"/>
    </row>
    <row r="994" ht="15.75" customHeight="1">
      <c r="B994" s="21"/>
    </row>
    <row r="995" ht="15.75" customHeight="1">
      <c r="B995" s="21"/>
    </row>
    <row r="996" ht="15.75" customHeight="1">
      <c r="B996" s="21"/>
    </row>
    <row r="997" ht="15.75" customHeight="1">
      <c r="B997" s="21"/>
    </row>
    <row r="998" ht="15.75" customHeight="1">
      <c r="B998" s="21"/>
    </row>
    <row r="999" ht="15.75" customHeight="1">
      <c r="B999" s="21"/>
    </row>
    <row r="1000" ht="15.75" customHeight="1">
      <c r="B1000" s="21"/>
    </row>
  </sheetData>
  <mergeCells count="2">
    <mergeCell ref="A1:H1"/>
    <mergeCell ref="A2:H2"/>
  </mergeCells>
  <printOptions/>
  <pageMargins bottom="0.75" footer="0.0" header="0.0" left="0.7" right="0.7" top="0.75"/>
  <pageSetup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43"/>
    <col customWidth="1" min="2" max="4" width="8.71"/>
    <col customWidth="1" min="5" max="5" width="12.43"/>
    <col customWidth="1" min="6" max="8" width="8.71"/>
    <col customWidth="1" min="9" max="9" width="13.57"/>
    <col customWidth="1" min="10" max="26" width="8.71"/>
  </cols>
  <sheetData>
    <row r="1">
      <c r="A1" s="1" t="s">
        <v>0</v>
      </c>
    </row>
    <row r="2">
      <c r="A2" s="2" t="s">
        <v>129</v>
      </c>
    </row>
    <row r="3">
      <c r="B3" s="4" t="s">
        <v>2</v>
      </c>
      <c r="C3" s="1" t="s">
        <v>3</v>
      </c>
      <c r="F3" s="4" t="s">
        <v>2</v>
      </c>
      <c r="G3" s="1" t="s">
        <v>3</v>
      </c>
      <c r="I3" s="9" t="s">
        <v>128</v>
      </c>
    </row>
    <row r="4">
      <c r="A4" s="5" t="s">
        <v>4</v>
      </c>
      <c r="B4" s="6" t="s">
        <v>14</v>
      </c>
      <c r="C4" s="40">
        <v>0.0</v>
      </c>
      <c r="E4" s="5" t="s">
        <v>5</v>
      </c>
      <c r="F4" s="16">
        <f>(0.01+0.05+0.08)/3</f>
        <v>0.04666666667</v>
      </c>
      <c r="G4" s="40">
        <v>3.0</v>
      </c>
      <c r="I4" s="13" t="s">
        <v>9</v>
      </c>
      <c r="J4" s="8">
        <v>3.11</v>
      </c>
    </row>
    <row r="5">
      <c r="A5" s="5" t="s">
        <v>7</v>
      </c>
      <c r="B5" s="10">
        <f>(1.67+2.88+1.71+5.36+2.02+0.03+1.61+0.97+1.88+1.52+4.16+0.67+2.09+2.03+1.61+0.7+2.72+3.23+3.28+3.04+4.57+3.97+2.42+2.48+3.65+1.99+2.18+2.59+2.98+2.92+1.31+0.99+2.22+2.93+1.08+2.67+1.34+2.11+2.28+3.98+1.68+5.23+1.54+2.19)/44</f>
        <v>2.374545455</v>
      </c>
      <c r="C5" s="41">
        <v>44.0</v>
      </c>
      <c r="E5" s="5" t="s">
        <v>8</v>
      </c>
      <c r="F5" s="10">
        <f>(0.38+0.17+0.1+0.1+0.09)/5</f>
        <v>0.168</v>
      </c>
      <c r="G5" s="41">
        <v>5.0</v>
      </c>
      <c r="I5" s="13" t="s">
        <v>12</v>
      </c>
      <c r="J5" s="8">
        <v>3.41</v>
      </c>
    </row>
    <row r="6">
      <c r="A6" s="5" t="s">
        <v>10</v>
      </c>
      <c r="B6" s="17">
        <v>0.03</v>
      </c>
      <c r="C6" s="41">
        <v>1.0</v>
      </c>
      <c r="E6" s="5" t="s">
        <v>11</v>
      </c>
      <c r="F6" s="10">
        <f>(0.41+0.02+0.02+0.01+0.01+0.03+0.01)/14</f>
        <v>0.03642857143</v>
      </c>
      <c r="G6" s="41">
        <v>14.0</v>
      </c>
      <c r="I6" s="13" t="s">
        <v>16</v>
      </c>
      <c r="J6" s="8">
        <v>3.08</v>
      </c>
    </row>
    <row r="7">
      <c r="A7" s="5" t="s">
        <v>13</v>
      </c>
      <c r="B7" s="6" t="s">
        <v>14</v>
      </c>
      <c r="C7" s="40">
        <v>0.0</v>
      </c>
      <c r="E7" s="5" t="s">
        <v>15</v>
      </c>
      <c r="F7" s="6">
        <v>0.01</v>
      </c>
      <c r="G7" s="40">
        <v>1.0</v>
      </c>
      <c r="I7" s="13" t="s">
        <v>19</v>
      </c>
      <c r="J7" s="8">
        <v>3.17</v>
      </c>
    </row>
    <row r="8">
      <c r="A8" s="5" t="s">
        <v>17</v>
      </c>
      <c r="B8" s="6">
        <v>0.01</v>
      </c>
      <c r="C8" s="40">
        <v>5.0</v>
      </c>
      <c r="E8" s="5" t="s">
        <v>18</v>
      </c>
      <c r="F8" s="16">
        <f>(0.28+0.03+0.05+0.2+0.39+0.06+0.05+0.04)/8</f>
        <v>0.1375</v>
      </c>
      <c r="G8" s="40">
        <v>8.0</v>
      </c>
      <c r="I8" s="13" t="s">
        <v>22</v>
      </c>
      <c r="J8" s="8">
        <v>3.71</v>
      </c>
    </row>
    <row r="9">
      <c r="A9" s="5" t="s">
        <v>20</v>
      </c>
      <c r="B9" s="17" t="s">
        <v>14</v>
      </c>
      <c r="C9" s="41">
        <v>0.0</v>
      </c>
      <c r="E9" s="5" t="s">
        <v>21</v>
      </c>
      <c r="F9" s="10">
        <f>(0+0+0.01)/3</f>
        <v>0.003333333333</v>
      </c>
      <c r="G9" s="41">
        <v>3.0</v>
      </c>
      <c r="I9" s="13" t="s">
        <v>25</v>
      </c>
      <c r="J9" s="8">
        <v>3.95</v>
      </c>
    </row>
    <row r="10">
      <c r="A10" s="5" t="s">
        <v>23</v>
      </c>
      <c r="B10" s="45">
        <v>0.17</v>
      </c>
      <c r="C10" s="41">
        <v>5.0</v>
      </c>
      <c r="E10" s="5" t="s">
        <v>24</v>
      </c>
      <c r="F10" s="10">
        <f>(0.19+0.17+0+0.07)/4</f>
        <v>0.1075</v>
      </c>
      <c r="G10" s="41">
        <v>4.0</v>
      </c>
      <c r="I10" s="13" t="s">
        <v>28</v>
      </c>
      <c r="J10" s="8">
        <v>3.81</v>
      </c>
    </row>
    <row r="11">
      <c r="A11" s="5" t="s">
        <v>26</v>
      </c>
      <c r="B11" s="16">
        <f>(0.04+0+0.25)/3</f>
        <v>0.09666666667</v>
      </c>
      <c r="C11" s="40">
        <v>3.0</v>
      </c>
      <c r="E11" s="5" t="s">
        <v>27</v>
      </c>
      <c r="F11" s="16">
        <f>(0.04+0.95+0+0+0.03+0+0)/7</f>
        <v>0.1457142857</v>
      </c>
      <c r="G11" s="40">
        <v>7.0</v>
      </c>
      <c r="I11" s="13" t="s">
        <v>31</v>
      </c>
      <c r="J11" s="8">
        <v>3.76</v>
      </c>
    </row>
    <row r="12">
      <c r="A12" s="5" t="s">
        <v>29</v>
      </c>
      <c r="B12" s="6" t="s">
        <v>14</v>
      </c>
      <c r="C12" s="40">
        <v>0.0</v>
      </c>
      <c r="E12" s="5" t="s">
        <v>30</v>
      </c>
      <c r="F12" s="6" t="s">
        <v>14</v>
      </c>
      <c r="G12" s="40">
        <v>0.0</v>
      </c>
      <c r="I12" s="13" t="s">
        <v>34</v>
      </c>
      <c r="J12" s="8">
        <v>3.74</v>
      </c>
    </row>
    <row r="13">
      <c r="A13" s="5" t="s">
        <v>32</v>
      </c>
      <c r="B13" s="17">
        <v>0.16</v>
      </c>
      <c r="C13" s="41">
        <v>1.0</v>
      </c>
      <c r="E13" s="5" t="s">
        <v>33</v>
      </c>
      <c r="F13" s="17" t="s">
        <v>14</v>
      </c>
      <c r="G13" s="41">
        <v>0.0</v>
      </c>
      <c r="I13" s="13" t="s">
        <v>37</v>
      </c>
      <c r="J13" s="8">
        <v>2.77</v>
      </c>
    </row>
    <row r="14">
      <c r="A14" s="5" t="s">
        <v>35</v>
      </c>
      <c r="B14" s="17">
        <v>0.0</v>
      </c>
      <c r="C14" s="41">
        <v>1.0</v>
      </c>
      <c r="E14" s="5" t="s">
        <v>36</v>
      </c>
      <c r="F14" s="17">
        <f>(0.89+0.05+1.78+0.06+0.14+0.04+0.6+0.04+0.08+0.95)/26</f>
        <v>0.1780769231</v>
      </c>
      <c r="G14" s="41">
        <v>26.0</v>
      </c>
      <c r="I14" s="13" t="s">
        <v>40</v>
      </c>
      <c r="J14" s="8">
        <v>3.83</v>
      </c>
    </row>
    <row r="15">
      <c r="A15" s="5" t="s">
        <v>38</v>
      </c>
      <c r="B15" s="6">
        <v>0.0</v>
      </c>
      <c r="C15" s="40">
        <v>1.0</v>
      </c>
      <c r="E15" s="5" t="s">
        <v>39</v>
      </c>
      <c r="F15" s="6" t="s">
        <v>14</v>
      </c>
      <c r="G15" s="40">
        <v>0.0</v>
      </c>
      <c r="I15" s="13" t="s">
        <v>43</v>
      </c>
      <c r="J15" s="8">
        <v>3.61</v>
      </c>
    </row>
    <row r="16">
      <c r="A16" s="5" t="s">
        <v>41</v>
      </c>
      <c r="B16" s="16">
        <f>(0.27+0+0.07)/3</f>
        <v>0.1133333333</v>
      </c>
      <c r="C16" s="40">
        <v>3.0</v>
      </c>
      <c r="E16" s="5" t="s">
        <v>42</v>
      </c>
      <c r="F16" s="6">
        <v>0.0</v>
      </c>
      <c r="G16" s="40">
        <v>1.0</v>
      </c>
      <c r="I16" s="13" t="s">
        <v>46</v>
      </c>
      <c r="J16" s="8">
        <v>2.82</v>
      </c>
    </row>
    <row r="17">
      <c r="A17" s="5" t="s">
        <v>44</v>
      </c>
      <c r="B17" s="17">
        <v>0.0</v>
      </c>
      <c r="C17" s="41">
        <v>1.0</v>
      </c>
      <c r="E17" s="5" t="s">
        <v>45</v>
      </c>
      <c r="F17" s="10">
        <f>(0+0.02+0+0.01+0+0+0.01+0+0.02+0)/10</f>
        <v>0.006</v>
      </c>
      <c r="G17" s="41">
        <v>10.0</v>
      </c>
      <c r="I17" s="13" t="s">
        <v>49</v>
      </c>
      <c r="J17" s="8">
        <v>2.5</v>
      </c>
    </row>
    <row r="18">
      <c r="A18" s="5" t="s">
        <v>47</v>
      </c>
      <c r="B18" s="17" t="s">
        <v>14</v>
      </c>
      <c r="C18" s="41">
        <v>0.0</v>
      </c>
      <c r="E18" s="5" t="s">
        <v>48</v>
      </c>
      <c r="F18" s="10">
        <f>(0.62+0.69+0.92+0.6+0.74+0.73+0.6+0.6+0+0.84+0.7+0.67+1.1+0.64+10+0.83+0.73+0.65+0.64+0.39+0.5+0.63+0.73+0.35+0.47+0.48)/26</f>
        <v>0.9942307692</v>
      </c>
      <c r="G18" s="41">
        <v>26.0</v>
      </c>
      <c r="I18" s="13" t="s">
        <v>52</v>
      </c>
      <c r="J18" s="8">
        <v>3.85</v>
      </c>
    </row>
    <row r="19">
      <c r="A19" s="5" t="s">
        <v>50</v>
      </c>
      <c r="B19" s="38" t="s">
        <v>14</v>
      </c>
      <c r="C19" s="46">
        <v>0.0</v>
      </c>
      <c r="E19" s="5" t="s">
        <v>51</v>
      </c>
      <c r="F19" s="16">
        <f>(0.23+0.4+0.57+0.48)/4</f>
        <v>0.42</v>
      </c>
      <c r="G19" s="40">
        <v>4.0</v>
      </c>
      <c r="I19" s="13" t="s">
        <v>55</v>
      </c>
      <c r="J19" s="8">
        <v>3.53</v>
      </c>
    </row>
    <row r="20">
      <c r="A20" s="5" t="s">
        <v>53</v>
      </c>
      <c r="B20" s="39">
        <f>(0.02+0+0.36+0.02)/4</f>
        <v>0.1</v>
      </c>
      <c r="C20" s="46">
        <v>4.0</v>
      </c>
      <c r="E20" s="5" t="s">
        <v>54</v>
      </c>
      <c r="F20" s="16">
        <f>(0.06+0.03+0.01+0)/4</f>
        <v>0.025</v>
      </c>
      <c r="G20" s="40">
        <v>4.0</v>
      </c>
      <c r="I20" s="13" t="s">
        <v>58</v>
      </c>
      <c r="J20" s="8">
        <v>2.96</v>
      </c>
    </row>
    <row r="21" ht="15.75" customHeight="1">
      <c r="A21" s="5" t="s">
        <v>56</v>
      </c>
      <c r="B21" s="17" t="s">
        <v>14</v>
      </c>
      <c r="C21" s="41">
        <v>0.0</v>
      </c>
      <c r="E21" s="5" t="s">
        <v>57</v>
      </c>
      <c r="F21" s="10">
        <f>(0+0+0+0.11+0+0.13+0+0+0.04)/9</f>
        <v>0.03111111111</v>
      </c>
      <c r="G21" s="41">
        <v>9.0</v>
      </c>
      <c r="I21" s="13" t="s">
        <v>61</v>
      </c>
      <c r="J21" s="8">
        <v>3.55</v>
      </c>
    </row>
    <row r="22" ht="15.75" customHeight="1">
      <c r="A22" s="5" t="s">
        <v>59</v>
      </c>
      <c r="B22" s="17" t="s">
        <v>14</v>
      </c>
      <c r="C22" s="41">
        <v>0.0</v>
      </c>
      <c r="E22" s="5" t="s">
        <v>60</v>
      </c>
      <c r="F22" s="17" t="s">
        <v>14</v>
      </c>
      <c r="G22" s="41">
        <v>0.0</v>
      </c>
      <c r="I22" s="13" t="s">
        <v>64</v>
      </c>
      <c r="J22" s="8">
        <v>3.63</v>
      </c>
    </row>
    <row r="23" ht="15.75" customHeight="1">
      <c r="A23" s="5" t="s">
        <v>62</v>
      </c>
      <c r="B23" s="6">
        <v>0.47</v>
      </c>
      <c r="C23" s="40">
        <v>1.0</v>
      </c>
      <c r="E23" s="5" t="s">
        <v>63</v>
      </c>
      <c r="F23" s="6" t="s">
        <v>14</v>
      </c>
      <c r="G23" s="40">
        <v>0.0</v>
      </c>
      <c r="I23" s="13" t="s">
        <v>67</v>
      </c>
      <c r="J23" s="8">
        <v>3.52</v>
      </c>
    </row>
    <row r="24" ht="15.75" customHeight="1">
      <c r="A24" s="5" t="s">
        <v>65</v>
      </c>
      <c r="B24" s="6" t="s">
        <v>14</v>
      </c>
      <c r="C24" s="40">
        <v>0.0</v>
      </c>
      <c r="E24" s="5" t="s">
        <v>66</v>
      </c>
      <c r="F24" s="6" t="s">
        <v>14</v>
      </c>
      <c r="G24" s="40">
        <v>0.0</v>
      </c>
      <c r="I24" s="13" t="s">
        <v>70</v>
      </c>
      <c r="J24" s="8">
        <v>3.64</v>
      </c>
    </row>
    <row r="25" ht="15.75" customHeight="1">
      <c r="A25" s="5" t="s">
        <v>68</v>
      </c>
      <c r="B25" s="10">
        <f>(0+0+0.05+0)/4</f>
        <v>0.0125</v>
      </c>
      <c r="C25" s="41">
        <v>4.0</v>
      </c>
      <c r="E25" s="5" t="s">
        <v>69</v>
      </c>
      <c r="F25" s="10">
        <f>(0+0)/0.2</f>
        <v>0</v>
      </c>
      <c r="G25" s="41">
        <v>2.0</v>
      </c>
      <c r="I25" s="13" t="s">
        <v>73</v>
      </c>
      <c r="J25" s="8">
        <v>4.15</v>
      </c>
    </row>
    <row r="26" ht="15.75" customHeight="1">
      <c r="A26" s="5" t="s">
        <v>71</v>
      </c>
      <c r="B26" s="17" t="s">
        <v>14</v>
      </c>
      <c r="C26" s="41">
        <v>0.0</v>
      </c>
      <c r="E26" s="5" t="s">
        <v>72</v>
      </c>
      <c r="F26" s="17">
        <v>0.0</v>
      </c>
      <c r="G26" s="41">
        <v>1.0</v>
      </c>
      <c r="I26" s="13" t="s">
        <v>76</v>
      </c>
      <c r="J26" s="8">
        <v>3.83</v>
      </c>
    </row>
    <row r="27" ht="15.75" customHeight="1">
      <c r="A27" s="5" t="s">
        <v>74</v>
      </c>
      <c r="B27" s="6">
        <v>0.0</v>
      </c>
      <c r="C27" s="40">
        <v>1.0</v>
      </c>
      <c r="E27" s="5" t="s">
        <v>75</v>
      </c>
      <c r="F27" s="6">
        <v>0.0</v>
      </c>
      <c r="G27" s="40">
        <v>7.0</v>
      </c>
      <c r="I27" s="13" t="s">
        <v>79</v>
      </c>
      <c r="J27" s="8">
        <v>3.45</v>
      </c>
    </row>
    <row r="28" ht="15.75" customHeight="1">
      <c r="A28" s="5" t="s">
        <v>77</v>
      </c>
      <c r="B28" s="16">
        <f>(0.09+0.06+0.11+0.08)/4</f>
        <v>0.085</v>
      </c>
      <c r="C28" s="40">
        <v>4.0</v>
      </c>
      <c r="E28" s="5" t="s">
        <v>78</v>
      </c>
      <c r="F28" s="16">
        <f>(0.04+0.04+0.01+0.03+0+0+0+0.02+0.65)/16</f>
        <v>0.049375</v>
      </c>
      <c r="G28" s="40">
        <v>16.0</v>
      </c>
      <c r="I28" s="13" t="s">
        <v>82</v>
      </c>
      <c r="J28" s="8">
        <v>3.4</v>
      </c>
    </row>
    <row r="29" ht="15.75" customHeight="1">
      <c r="A29" s="5" t="s">
        <v>80</v>
      </c>
      <c r="B29" s="10">
        <f>(0+0)/2</f>
        <v>0</v>
      </c>
      <c r="C29" s="41">
        <v>2.0</v>
      </c>
      <c r="E29" s="5" t="s">
        <v>81</v>
      </c>
      <c r="F29" s="17">
        <v>0.0</v>
      </c>
      <c r="G29" s="41">
        <v>1.0</v>
      </c>
      <c r="I29" s="13" t="s">
        <v>85</v>
      </c>
      <c r="J29" s="8">
        <v>4.0</v>
      </c>
    </row>
    <row r="30" ht="15.75" customHeight="1">
      <c r="A30" s="5" t="s">
        <v>83</v>
      </c>
      <c r="B30" s="10">
        <f>(0.81+0)/2</f>
        <v>0.405</v>
      </c>
      <c r="C30" s="41">
        <v>2.0</v>
      </c>
      <c r="E30" s="5" t="s">
        <v>84</v>
      </c>
      <c r="F30" s="17">
        <v>0.0</v>
      </c>
      <c r="G30" s="41">
        <v>1.0</v>
      </c>
      <c r="I30" s="13" t="s">
        <v>88</v>
      </c>
      <c r="J30" s="8">
        <v>3.28</v>
      </c>
    </row>
    <row r="31" ht="15.75" customHeight="1">
      <c r="A31" s="5" t="s">
        <v>86</v>
      </c>
      <c r="B31" s="16">
        <f>(0+0.1)/2</f>
        <v>0.05</v>
      </c>
      <c r="C31" s="40">
        <v>2.0</v>
      </c>
      <c r="E31" s="5" t="s">
        <v>87</v>
      </c>
      <c r="F31" s="6">
        <v>0.0</v>
      </c>
      <c r="G31" s="40">
        <v>1.0</v>
      </c>
      <c r="I31" s="13" t="s">
        <v>90</v>
      </c>
      <c r="J31" s="8">
        <v>3.73</v>
      </c>
    </row>
    <row r="32" ht="15.75" customHeight="1">
      <c r="A32" s="5" t="s">
        <v>64</v>
      </c>
      <c r="B32" s="6">
        <v>0.0</v>
      </c>
      <c r="C32" s="40">
        <v>1.0</v>
      </c>
      <c r="E32" s="5" t="s">
        <v>89</v>
      </c>
      <c r="F32" s="6">
        <v>0.0</v>
      </c>
      <c r="G32" s="40">
        <v>1.0</v>
      </c>
      <c r="I32" s="13" t="s">
        <v>93</v>
      </c>
      <c r="J32" s="8">
        <v>2.9</v>
      </c>
    </row>
    <row r="33" ht="15.75" customHeight="1">
      <c r="A33" s="5" t="s">
        <v>91</v>
      </c>
      <c r="B33" s="17" t="s">
        <v>14</v>
      </c>
      <c r="C33" s="41">
        <v>0.0</v>
      </c>
      <c r="E33" s="5" t="s">
        <v>92</v>
      </c>
      <c r="F33" s="17">
        <v>0.0</v>
      </c>
      <c r="G33" s="41">
        <v>2.0</v>
      </c>
      <c r="I33" s="13" t="s">
        <v>96</v>
      </c>
      <c r="J33" s="8">
        <v>3.07</v>
      </c>
    </row>
    <row r="34" ht="15.75" customHeight="1">
      <c r="A34" s="5" t="s">
        <v>94</v>
      </c>
      <c r="B34" s="17" t="s">
        <v>14</v>
      </c>
      <c r="C34" s="41">
        <v>0.0</v>
      </c>
      <c r="E34" s="5" t="s">
        <v>95</v>
      </c>
      <c r="F34" s="17">
        <v>3.75</v>
      </c>
      <c r="G34" s="41">
        <v>1.0</v>
      </c>
      <c r="I34" s="13" t="s">
        <v>99</v>
      </c>
      <c r="J34" s="8">
        <v>3.92</v>
      </c>
    </row>
    <row r="35" ht="15.75" customHeight="1">
      <c r="A35" s="5" t="s">
        <v>97</v>
      </c>
      <c r="B35" s="6" t="s">
        <v>14</v>
      </c>
      <c r="C35" s="40">
        <v>0.0</v>
      </c>
      <c r="E35" s="5" t="s">
        <v>98</v>
      </c>
      <c r="F35" s="16">
        <f>(0.36+0.3)/2</f>
        <v>0.33</v>
      </c>
      <c r="G35" s="40">
        <v>2.0</v>
      </c>
      <c r="I35" s="13" t="s">
        <v>102</v>
      </c>
      <c r="J35" s="8">
        <v>3.5</v>
      </c>
    </row>
    <row r="36" ht="15.75" customHeight="1">
      <c r="A36" s="5" t="s">
        <v>100</v>
      </c>
      <c r="B36" s="6" t="s">
        <v>14</v>
      </c>
      <c r="C36" s="40">
        <v>0.0</v>
      </c>
      <c r="E36" s="5" t="s">
        <v>101</v>
      </c>
      <c r="F36" s="16">
        <f>(0+0.01)</f>
        <v>0.01</v>
      </c>
      <c r="G36" s="40">
        <v>4.0</v>
      </c>
      <c r="I36" s="13" t="s">
        <v>104</v>
      </c>
      <c r="J36" s="8">
        <v>3.06</v>
      </c>
    </row>
    <row r="37" ht="15.75" customHeight="1">
      <c r="A37" s="5" t="s">
        <v>103</v>
      </c>
      <c r="B37" s="17" t="s">
        <v>14</v>
      </c>
      <c r="C37" s="41">
        <v>0.0</v>
      </c>
      <c r="I37" s="13" t="s">
        <v>105</v>
      </c>
      <c r="J37" s="8">
        <v>3.3</v>
      </c>
    </row>
    <row r="38" ht="15.75" customHeight="1">
      <c r="I38" s="13" t="s">
        <v>106</v>
      </c>
      <c r="J38" s="8">
        <v>2.86</v>
      </c>
    </row>
    <row r="39" ht="15.75" customHeight="1">
      <c r="I39" s="13" t="s">
        <v>107</v>
      </c>
      <c r="J39" s="8">
        <v>2.89</v>
      </c>
    </row>
    <row r="40" ht="15.75" customHeight="1">
      <c r="I40" s="13" t="s">
        <v>108</v>
      </c>
      <c r="J40" s="8">
        <v>3.47</v>
      </c>
    </row>
    <row r="41" ht="15.75" customHeight="1">
      <c r="I41" s="13" t="s">
        <v>109</v>
      </c>
      <c r="J41" s="8">
        <v>3.06</v>
      </c>
    </row>
    <row r="42" ht="15.75" customHeight="1">
      <c r="I42" s="13" t="s">
        <v>110</v>
      </c>
      <c r="J42" s="8">
        <v>3.32</v>
      </c>
    </row>
    <row r="43" ht="15.75" customHeight="1">
      <c r="I43" s="13" t="s">
        <v>111</v>
      </c>
      <c r="J43" s="8">
        <v>3.76</v>
      </c>
    </row>
    <row r="44" ht="15.75" customHeight="1">
      <c r="I44" s="13" t="s">
        <v>112</v>
      </c>
      <c r="J44" s="8">
        <v>3.56</v>
      </c>
    </row>
    <row r="45" ht="15.75" customHeight="1">
      <c r="I45" s="13" t="s">
        <v>113</v>
      </c>
      <c r="J45" s="8">
        <v>2.9</v>
      </c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H1"/>
    <mergeCell ref="A2:H2"/>
  </mergeCells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43"/>
    <col customWidth="1" min="2" max="4" width="8.71"/>
    <col customWidth="1" min="5" max="5" width="12.43"/>
    <col customWidth="1" min="6" max="8" width="8.71"/>
    <col customWidth="1" min="9" max="9" width="13.57"/>
    <col customWidth="1" min="10" max="26" width="8.71"/>
  </cols>
  <sheetData>
    <row r="1">
      <c r="A1" s="1" t="s">
        <v>0</v>
      </c>
    </row>
    <row r="2">
      <c r="A2" s="2" t="s">
        <v>130</v>
      </c>
    </row>
    <row r="3">
      <c r="B3" s="4" t="s">
        <v>2</v>
      </c>
      <c r="C3" s="1" t="s">
        <v>3</v>
      </c>
      <c r="F3" s="4" t="s">
        <v>2</v>
      </c>
      <c r="G3" s="1" t="s">
        <v>3</v>
      </c>
      <c r="I3" s="9" t="s">
        <v>131</v>
      </c>
    </row>
    <row r="4">
      <c r="A4" s="5" t="s">
        <v>4</v>
      </c>
      <c r="B4" s="6" t="s">
        <v>14</v>
      </c>
      <c r="C4" s="40">
        <v>0.0</v>
      </c>
      <c r="E4" s="5" t="s">
        <v>5</v>
      </c>
      <c r="F4" s="16">
        <f>(2.87+3.36+3.67)/3</f>
        <v>3.3</v>
      </c>
      <c r="G4" s="40">
        <v>3.0</v>
      </c>
      <c r="I4" s="13" t="s">
        <v>9</v>
      </c>
      <c r="J4" s="8">
        <v>4.61</v>
      </c>
    </row>
    <row r="5">
      <c r="A5" s="5" t="s">
        <v>7</v>
      </c>
      <c r="B5" s="10">
        <f>(6.57+6.7+7.15+7.06+8.81+6.93+5.15+5.98+5.55+7.08+6.28+7.17+7.5+8.09+6.52+6.53+8.52+6.08+6.94+5.88+6.52+6.37+5.36+7.53+8.2+6.75+8.86+8.99+7.52+7.78+5.93+8.67+6.08+6.49+6.36+8.12+5.9+6.74+7.06+3.94+7.1+7.32+6.99+7.83)/40</f>
        <v>7.6225</v>
      </c>
      <c r="C5" s="41">
        <v>40.0</v>
      </c>
      <c r="E5" s="5" t="s">
        <v>8</v>
      </c>
      <c r="F5" s="10">
        <f>(4.47+5.83+3.52+5.5+5.96+4.97)/6</f>
        <v>5.041666667</v>
      </c>
      <c r="G5" s="41">
        <v>6.0</v>
      </c>
      <c r="I5" s="13" t="s">
        <v>12</v>
      </c>
      <c r="J5" s="8">
        <v>4.93</v>
      </c>
    </row>
    <row r="6">
      <c r="A6" s="5" t="s">
        <v>10</v>
      </c>
      <c r="B6" s="17">
        <v>1.14</v>
      </c>
      <c r="C6" s="41">
        <v>1.0</v>
      </c>
      <c r="E6" s="5" t="s">
        <v>11</v>
      </c>
      <c r="F6" s="10">
        <f>(5.85+2.35+5.06+5.72+4.63+4.34+4.78+4.61+5.03+4.41+6.04+4.02+5.37+4+6.11)/15</f>
        <v>4.821333333</v>
      </c>
      <c r="G6" s="41">
        <v>15.0</v>
      </c>
      <c r="I6" s="13" t="s">
        <v>16</v>
      </c>
      <c r="J6" s="8">
        <v>4.79</v>
      </c>
    </row>
    <row r="7">
      <c r="A7" s="5" t="s">
        <v>13</v>
      </c>
      <c r="B7" s="6" t="s">
        <v>14</v>
      </c>
      <c r="C7" s="40">
        <v>0.0</v>
      </c>
      <c r="E7" s="5" t="s">
        <v>15</v>
      </c>
      <c r="F7" s="6">
        <v>5.56</v>
      </c>
      <c r="G7" s="40">
        <v>1.0</v>
      </c>
      <c r="I7" s="13" t="s">
        <v>19</v>
      </c>
      <c r="J7" s="8">
        <v>4.84</v>
      </c>
    </row>
    <row r="8">
      <c r="A8" s="5" t="s">
        <v>17</v>
      </c>
      <c r="B8" s="16">
        <f>(4.54+4.6+4.33+2.77+4.98+5.38)/6</f>
        <v>4.433333333</v>
      </c>
      <c r="C8" s="40">
        <v>6.0</v>
      </c>
      <c r="E8" s="5" t="s">
        <v>18</v>
      </c>
      <c r="F8" s="16">
        <f>(5.55+2.4+2.81+4.48+3.77+3.13+3.24+2.41+1.98)/9</f>
        <v>3.307777778</v>
      </c>
      <c r="G8" s="40">
        <v>9.0</v>
      </c>
      <c r="I8" s="13" t="s">
        <v>22</v>
      </c>
      <c r="J8" s="8">
        <v>4.73</v>
      </c>
    </row>
    <row r="9">
      <c r="A9" s="5" t="s">
        <v>20</v>
      </c>
      <c r="B9" s="17" t="s">
        <v>14</v>
      </c>
      <c r="C9" s="41">
        <v>0.0</v>
      </c>
      <c r="E9" s="5" t="s">
        <v>21</v>
      </c>
      <c r="F9" s="10">
        <f>(4.41+0.79+5.16)/3</f>
        <v>3.453333333</v>
      </c>
      <c r="G9" s="41">
        <v>3.0</v>
      </c>
      <c r="I9" s="13" t="s">
        <v>25</v>
      </c>
      <c r="J9" s="8">
        <v>5.14</v>
      </c>
    </row>
    <row r="10">
      <c r="A10" s="5" t="s">
        <v>23</v>
      </c>
      <c r="B10" s="17">
        <f>(2.98+2.47+2.63+3.49+3.23)/5</f>
        <v>2.96</v>
      </c>
      <c r="C10" s="41">
        <v>5.0</v>
      </c>
      <c r="E10" s="5" t="s">
        <v>24</v>
      </c>
      <c r="F10" s="10">
        <f>(3.57+3.73+3.1+3.93+0)/5</f>
        <v>2.866</v>
      </c>
      <c r="G10" s="41">
        <v>5.0</v>
      </c>
      <c r="I10" s="13" t="s">
        <v>28</v>
      </c>
      <c r="J10" s="8">
        <v>5.06</v>
      </c>
    </row>
    <row r="11">
      <c r="A11" s="5" t="s">
        <v>26</v>
      </c>
      <c r="B11" s="16">
        <f>(4.19+6+3.99)/3</f>
        <v>4.726666667</v>
      </c>
      <c r="C11" s="40">
        <v>3.0</v>
      </c>
      <c r="E11" s="5" t="s">
        <v>27</v>
      </c>
      <c r="F11" s="16">
        <f>(4.64+3.55+3.39+3.65+4.4+3.13+3.66)/7</f>
        <v>3.774285714</v>
      </c>
      <c r="G11" s="40">
        <v>7.0</v>
      </c>
      <c r="I11" s="13" t="s">
        <v>31</v>
      </c>
      <c r="J11" s="8">
        <v>5.2</v>
      </c>
    </row>
    <row r="12">
      <c r="A12" s="5" t="s">
        <v>29</v>
      </c>
      <c r="B12" s="6" t="s">
        <v>14</v>
      </c>
      <c r="C12" s="40">
        <v>0.0</v>
      </c>
      <c r="E12" s="5" t="s">
        <v>30</v>
      </c>
      <c r="F12" s="6" t="s">
        <v>14</v>
      </c>
      <c r="G12" s="40">
        <v>0.0</v>
      </c>
      <c r="I12" s="13" t="s">
        <v>34</v>
      </c>
      <c r="J12" s="8">
        <v>5.08</v>
      </c>
    </row>
    <row r="13">
      <c r="A13" s="5" t="s">
        <v>32</v>
      </c>
      <c r="B13" s="17">
        <v>5.33</v>
      </c>
      <c r="C13" s="41">
        <v>1.0</v>
      </c>
      <c r="E13" s="5" t="s">
        <v>33</v>
      </c>
      <c r="F13" s="17" t="s">
        <v>14</v>
      </c>
      <c r="G13" s="41">
        <v>0.0</v>
      </c>
      <c r="I13" s="13" t="s">
        <v>37</v>
      </c>
      <c r="J13" s="8">
        <v>5.04</v>
      </c>
    </row>
    <row r="14">
      <c r="A14" s="5" t="s">
        <v>35</v>
      </c>
      <c r="B14" s="17">
        <v>2.6</v>
      </c>
      <c r="C14" s="41">
        <v>1.0</v>
      </c>
      <c r="E14" s="5" t="s">
        <v>36</v>
      </c>
      <c r="F14" s="10">
        <f>(3.9+3.89+3.96+4.1+3.68+3.66+3.91+3.86+2.8+2.14+4.35+3.55+3.77+3.79+3.69+3.54+3.36+4.24+3.95+4.18+3.94+4.31+4.23+3.94+3.52+3.44+2.51+3.39+3.59+4.11)/30</f>
        <v>3.71</v>
      </c>
      <c r="G14" s="41">
        <v>30.0</v>
      </c>
      <c r="I14" s="13" t="s">
        <v>40</v>
      </c>
      <c r="J14" s="8">
        <v>5.78</v>
      </c>
    </row>
    <row r="15">
      <c r="A15" s="5" t="s">
        <v>38</v>
      </c>
      <c r="B15" s="6">
        <v>0.31</v>
      </c>
      <c r="C15" s="40">
        <v>1.0</v>
      </c>
      <c r="E15" s="5" t="s">
        <v>39</v>
      </c>
      <c r="F15" s="6" t="s">
        <v>14</v>
      </c>
      <c r="G15" s="40">
        <v>0.0</v>
      </c>
      <c r="I15" s="13" t="s">
        <v>43</v>
      </c>
      <c r="J15" s="8">
        <v>5.78</v>
      </c>
    </row>
    <row r="16">
      <c r="A16" s="5" t="s">
        <v>41</v>
      </c>
      <c r="B16" s="16">
        <f>(5+4.29+5.23)/3</f>
        <v>4.84</v>
      </c>
      <c r="C16" s="40">
        <v>3.0</v>
      </c>
      <c r="E16" s="5" t="s">
        <v>42</v>
      </c>
      <c r="F16" s="6">
        <v>4.52</v>
      </c>
      <c r="G16" s="40">
        <v>1.0</v>
      </c>
      <c r="I16" s="13" t="s">
        <v>46</v>
      </c>
      <c r="J16" s="8">
        <v>5.05</v>
      </c>
    </row>
    <row r="17">
      <c r="A17" s="5" t="s">
        <v>44</v>
      </c>
      <c r="B17" s="17">
        <v>2.74</v>
      </c>
      <c r="C17" s="41">
        <v>1.0</v>
      </c>
      <c r="E17" s="5" t="s">
        <v>45</v>
      </c>
      <c r="F17" s="10">
        <f>(6.65+6.59+6.02+5.52+4.46+6.48+5.42+12.5+6.55+6.2)/10</f>
        <v>6.639</v>
      </c>
      <c r="G17" s="41">
        <v>10.0</v>
      </c>
      <c r="I17" s="13" t="s">
        <v>49</v>
      </c>
      <c r="J17" s="8">
        <v>4.03</v>
      </c>
    </row>
    <row r="18">
      <c r="A18" s="5" t="s">
        <v>47</v>
      </c>
      <c r="B18" s="17" t="s">
        <v>14</v>
      </c>
      <c r="C18" s="41">
        <v>0.0</v>
      </c>
      <c r="E18" s="5" t="s">
        <v>48</v>
      </c>
      <c r="F18" s="10">
        <f>(4.97+4.73+3.32+5.18+4.23+4.28+4.9+5.27+5.75+6.4+5.5+6.89+4.31+4.96+3.97+6.8+3.85+3.45+4.23+3.76+5.92+4.02+5.06+3.97+3.63)/25</f>
        <v>4.774</v>
      </c>
      <c r="G18" s="41">
        <v>25.0</v>
      </c>
      <c r="I18" s="13" t="s">
        <v>52</v>
      </c>
      <c r="J18" s="8">
        <v>4.14</v>
      </c>
    </row>
    <row r="19">
      <c r="A19" s="5" t="s">
        <v>50</v>
      </c>
      <c r="B19" s="38" t="s">
        <v>14</v>
      </c>
      <c r="C19" s="46">
        <v>0.0</v>
      </c>
      <c r="E19" s="5" t="s">
        <v>51</v>
      </c>
      <c r="F19" s="16">
        <f>(3.42+4.45+4.14+3.22)/4</f>
        <v>3.8075</v>
      </c>
      <c r="G19" s="40">
        <v>4.0</v>
      </c>
      <c r="I19" s="13" t="s">
        <v>55</v>
      </c>
      <c r="J19" s="8">
        <v>4.63</v>
      </c>
    </row>
    <row r="20">
      <c r="A20" s="5" t="s">
        <v>53</v>
      </c>
      <c r="B20" s="39">
        <f>(2.82+2.46+2.23+2.69)/4</f>
        <v>2.55</v>
      </c>
      <c r="C20" s="46">
        <v>4.0</v>
      </c>
      <c r="E20" s="5" t="s">
        <v>54</v>
      </c>
      <c r="F20" s="16">
        <f>(3.85+2.62+2.91+2.59)/4</f>
        <v>2.9925</v>
      </c>
      <c r="G20" s="40">
        <v>4.0</v>
      </c>
      <c r="I20" s="13" t="s">
        <v>58</v>
      </c>
      <c r="J20" s="8">
        <v>4.1</v>
      </c>
    </row>
    <row r="21" ht="15.75" customHeight="1">
      <c r="A21" s="5" t="s">
        <v>56</v>
      </c>
      <c r="B21" s="17" t="s">
        <v>14</v>
      </c>
      <c r="C21" s="41">
        <v>0.0</v>
      </c>
      <c r="E21" s="5" t="s">
        <v>57</v>
      </c>
      <c r="F21" s="10">
        <f>(4.7+5.67+4.97+4.28+6.11+4.12+3.95+4.17+4.31)/9</f>
        <v>4.697777778</v>
      </c>
      <c r="G21" s="41">
        <v>9.0</v>
      </c>
      <c r="I21" s="13" t="s">
        <v>61</v>
      </c>
      <c r="J21" s="8">
        <v>4.88</v>
      </c>
    </row>
    <row r="22" ht="15.75" customHeight="1">
      <c r="A22" s="5" t="s">
        <v>59</v>
      </c>
      <c r="B22" s="17" t="s">
        <v>14</v>
      </c>
      <c r="C22" s="41">
        <v>0.0</v>
      </c>
      <c r="E22" s="5" t="s">
        <v>60</v>
      </c>
      <c r="F22" s="17" t="s">
        <v>14</v>
      </c>
      <c r="G22" s="41">
        <v>0.0</v>
      </c>
      <c r="I22" s="13" t="s">
        <v>64</v>
      </c>
      <c r="J22" s="8">
        <v>4.81</v>
      </c>
    </row>
    <row r="23" ht="15.75" customHeight="1">
      <c r="A23" s="5" t="s">
        <v>62</v>
      </c>
      <c r="B23" s="6">
        <v>2.89</v>
      </c>
      <c r="C23" s="40">
        <v>1.0</v>
      </c>
      <c r="E23" s="5" t="s">
        <v>63</v>
      </c>
      <c r="F23" s="6" t="s">
        <v>14</v>
      </c>
      <c r="G23" s="40">
        <v>0.0</v>
      </c>
      <c r="I23" s="13" t="s">
        <v>67</v>
      </c>
      <c r="J23" s="8">
        <v>5.24</v>
      </c>
    </row>
    <row r="24" ht="15.75" customHeight="1">
      <c r="A24" s="5" t="s">
        <v>65</v>
      </c>
      <c r="B24" s="6" t="s">
        <v>14</v>
      </c>
      <c r="C24" s="40">
        <v>0.0</v>
      </c>
      <c r="E24" s="5" t="s">
        <v>66</v>
      </c>
      <c r="F24" s="6" t="s">
        <v>14</v>
      </c>
      <c r="G24" s="40">
        <v>0.0</v>
      </c>
      <c r="I24" s="13" t="s">
        <v>70</v>
      </c>
      <c r="J24" s="8">
        <v>5.2</v>
      </c>
    </row>
    <row r="25" ht="15.75" customHeight="1">
      <c r="A25" s="5" t="s">
        <v>68</v>
      </c>
      <c r="B25" s="10">
        <f>(6.87+3.57+6.95+6.31)/4</f>
        <v>5.925</v>
      </c>
      <c r="C25" s="41">
        <v>4.0</v>
      </c>
      <c r="E25" s="5" t="s">
        <v>69</v>
      </c>
      <c r="F25" s="10">
        <f>(3.08+2.23)/2</f>
        <v>2.655</v>
      </c>
      <c r="G25" s="41">
        <v>2.0</v>
      </c>
      <c r="I25" s="13" t="s">
        <v>73</v>
      </c>
      <c r="J25" s="8">
        <v>5.72</v>
      </c>
    </row>
    <row r="26" ht="15.75" customHeight="1">
      <c r="A26" s="5" t="s">
        <v>71</v>
      </c>
      <c r="B26" s="17" t="s">
        <v>14</v>
      </c>
      <c r="C26" s="41">
        <v>0.0</v>
      </c>
      <c r="E26" s="5" t="s">
        <v>72</v>
      </c>
      <c r="F26" s="17">
        <v>3.87</v>
      </c>
      <c r="G26" s="41">
        <v>1.0</v>
      </c>
      <c r="I26" s="13" t="s">
        <v>76</v>
      </c>
      <c r="J26" s="8">
        <v>5.2</v>
      </c>
    </row>
    <row r="27" ht="15.75" customHeight="1">
      <c r="A27" s="5" t="s">
        <v>74</v>
      </c>
      <c r="B27" s="6">
        <v>3.89</v>
      </c>
      <c r="C27" s="40">
        <v>1.0</v>
      </c>
      <c r="E27" s="5" t="s">
        <v>75</v>
      </c>
      <c r="F27" s="16">
        <f>(1.21+4.39+5.44+5.99+6.32+6.1+4.27)/7</f>
        <v>4.817142857</v>
      </c>
      <c r="G27" s="40">
        <v>7.0</v>
      </c>
      <c r="I27" s="13" t="s">
        <v>79</v>
      </c>
      <c r="J27" s="8">
        <v>4.71</v>
      </c>
    </row>
    <row r="28" ht="15.75" customHeight="1">
      <c r="A28" s="5" t="s">
        <v>77</v>
      </c>
      <c r="B28" s="16">
        <f>(5.11+4.77+4.84+4.15+5.33+4.92)/6</f>
        <v>4.853333333</v>
      </c>
      <c r="C28" s="40">
        <v>6.0</v>
      </c>
      <c r="E28" s="5" t="s">
        <v>78</v>
      </c>
      <c r="F28" s="16">
        <f>(5.52+4.92+5.75+0.45+5.3+5.46+5.35+5.02+4.01+5.1+4.73+4.13+4.2+2.96+4.5+4.6)/16</f>
        <v>4.5</v>
      </c>
      <c r="G28" s="40">
        <v>16.0</v>
      </c>
      <c r="I28" s="13" t="s">
        <v>82</v>
      </c>
      <c r="J28" s="8">
        <v>4.7</v>
      </c>
    </row>
    <row r="29" ht="15.75" customHeight="1">
      <c r="A29" s="5" t="s">
        <v>80</v>
      </c>
      <c r="B29" s="10">
        <f>(3.03+3.16)/2</f>
        <v>3.095</v>
      </c>
      <c r="C29" s="41">
        <v>2.0</v>
      </c>
      <c r="E29" s="5" t="s">
        <v>81</v>
      </c>
      <c r="F29" s="17" t="s">
        <v>14</v>
      </c>
      <c r="G29" s="41">
        <v>0.0</v>
      </c>
      <c r="I29" s="13" t="s">
        <v>85</v>
      </c>
      <c r="J29" s="8">
        <v>5.68</v>
      </c>
    </row>
    <row r="30" ht="15.75" customHeight="1">
      <c r="A30" s="5" t="s">
        <v>83</v>
      </c>
      <c r="B30" s="10">
        <f>(2.97+4.38)/2</f>
        <v>3.675</v>
      </c>
      <c r="C30" s="41">
        <v>2.0</v>
      </c>
      <c r="E30" s="5" t="s">
        <v>84</v>
      </c>
      <c r="F30" s="17">
        <v>3.32</v>
      </c>
      <c r="G30" s="41">
        <v>1.0</v>
      </c>
      <c r="I30" s="13" t="s">
        <v>88</v>
      </c>
      <c r="J30" s="8">
        <v>4.58</v>
      </c>
    </row>
    <row r="31" ht="15.75" customHeight="1">
      <c r="A31" s="5" t="s">
        <v>86</v>
      </c>
      <c r="B31" s="16">
        <f>(5.2+5.33)/2</f>
        <v>5.265</v>
      </c>
      <c r="C31" s="40">
        <v>2.0</v>
      </c>
      <c r="E31" s="5" t="s">
        <v>87</v>
      </c>
      <c r="F31" s="6">
        <v>3.61</v>
      </c>
      <c r="G31" s="40">
        <v>1.0</v>
      </c>
      <c r="I31" s="13" t="s">
        <v>90</v>
      </c>
      <c r="J31" s="8">
        <v>4.83</v>
      </c>
    </row>
    <row r="32" ht="15.75" customHeight="1">
      <c r="A32" s="5" t="s">
        <v>64</v>
      </c>
      <c r="B32" s="6">
        <v>5.61</v>
      </c>
      <c r="C32" s="40">
        <v>1.0</v>
      </c>
      <c r="E32" s="5" t="s">
        <v>89</v>
      </c>
      <c r="F32" s="6">
        <f>(4.03+3.02+3.93+4.04+3.92+3.63)/6</f>
        <v>3.761666667</v>
      </c>
      <c r="G32" s="40">
        <v>6.0</v>
      </c>
      <c r="I32" s="13" t="s">
        <v>93</v>
      </c>
      <c r="J32" s="8">
        <v>4.91</v>
      </c>
    </row>
    <row r="33" ht="15.75" customHeight="1">
      <c r="A33" s="5" t="s">
        <v>91</v>
      </c>
      <c r="B33" s="17" t="s">
        <v>14</v>
      </c>
      <c r="C33" s="41">
        <v>0.0</v>
      </c>
      <c r="E33" s="5" t="s">
        <v>92</v>
      </c>
      <c r="F33" s="10">
        <f>(6.21+1.2+6.12)/3</f>
        <v>4.51</v>
      </c>
      <c r="G33" s="41">
        <v>3.0</v>
      </c>
      <c r="I33" s="13" t="s">
        <v>96</v>
      </c>
      <c r="J33" s="8">
        <v>4.91</v>
      </c>
    </row>
    <row r="34" ht="15.75" customHeight="1">
      <c r="A34" s="5" t="s">
        <v>94</v>
      </c>
      <c r="B34" s="17">
        <v>1.81</v>
      </c>
      <c r="C34" s="41">
        <v>1.0</v>
      </c>
      <c r="E34" s="5" t="s">
        <v>95</v>
      </c>
      <c r="F34" s="17">
        <v>4.38</v>
      </c>
      <c r="G34" s="41">
        <v>1.0</v>
      </c>
      <c r="I34" s="13" t="s">
        <v>99</v>
      </c>
      <c r="J34" s="8">
        <v>5.12</v>
      </c>
    </row>
    <row r="35" ht="15.75" customHeight="1">
      <c r="A35" s="5" t="s">
        <v>97</v>
      </c>
      <c r="B35" s="6" t="s">
        <v>14</v>
      </c>
      <c r="C35" s="40">
        <v>0.0</v>
      </c>
      <c r="E35" s="5" t="s">
        <v>98</v>
      </c>
      <c r="F35" s="16">
        <f>(3.22+2.92)/2</f>
        <v>3.07</v>
      </c>
      <c r="G35" s="40">
        <v>2.0</v>
      </c>
      <c r="I35" s="13" t="s">
        <v>102</v>
      </c>
      <c r="J35" s="8">
        <v>4.9</v>
      </c>
    </row>
    <row r="36" ht="15.75" customHeight="1">
      <c r="A36" s="5" t="s">
        <v>100</v>
      </c>
      <c r="B36" s="6" t="s">
        <v>14</v>
      </c>
      <c r="C36" s="40">
        <v>0.0</v>
      </c>
      <c r="E36" s="5" t="s">
        <v>101</v>
      </c>
      <c r="F36" s="16">
        <f>(4.65+5.3+7.01+4.28)/4</f>
        <v>5.31</v>
      </c>
      <c r="G36" s="40">
        <v>4.0</v>
      </c>
      <c r="I36" s="13" t="s">
        <v>104</v>
      </c>
      <c r="J36" s="8">
        <v>4.34</v>
      </c>
    </row>
    <row r="37" ht="15.75" customHeight="1">
      <c r="A37" s="5" t="s">
        <v>103</v>
      </c>
      <c r="B37" s="17" t="s">
        <v>14</v>
      </c>
      <c r="C37" s="41">
        <v>0.0</v>
      </c>
      <c r="I37" s="13" t="s">
        <v>105</v>
      </c>
      <c r="J37" s="8">
        <v>5.0</v>
      </c>
    </row>
    <row r="38" ht="15.75" customHeight="1">
      <c r="I38" s="13" t="s">
        <v>106</v>
      </c>
      <c r="J38" s="8">
        <v>4.51</v>
      </c>
    </row>
    <row r="39" ht="15.75" customHeight="1">
      <c r="I39" s="13" t="s">
        <v>107</v>
      </c>
      <c r="J39" s="8">
        <v>5.05</v>
      </c>
    </row>
    <row r="40" ht="15.75" customHeight="1">
      <c r="I40" s="13" t="s">
        <v>108</v>
      </c>
      <c r="J40" s="8">
        <v>4.8</v>
      </c>
    </row>
    <row r="41" ht="15.75" customHeight="1">
      <c r="I41" s="13" t="s">
        <v>109</v>
      </c>
      <c r="J41" s="8">
        <v>5.06</v>
      </c>
    </row>
    <row r="42" ht="15.75" customHeight="1">
      <c r="I42" s="13" t="s">
        <v>110</v>
      </c>
      <c r="J42" s="8">
        <v>4.9</v>
      </c>
    </row>
    <row r="43" ht="15.75" customHeight="1">
      <c r="I43" s="13" t="s">
        <v>111</v>
      </c>
      <c r="J43" s="8">
        <v>5.48</v>
      </c>
    </row>
    <row r="44" ht="15.75" customHeight="1">
      <c r="I44" s="13" t="s">
        <v>112</v>
      </c>
      <c r="J44" s="8">
        <v>4.92</v>
      </c>
    </row>
    <row r="45" ht="15.75" customHeight="1">
      <c r="I45" s="13" t="s">
        <v>113</v>
      </c>
      <c r="J45" s="8">
        <v>4.2</v>
      </c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H1"/>
    <mergeCell ref="A2:H2"/>
  </mergeCells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43"/>
    <col customWidth="1" min="2" max="4" width="8.71"/>
    <col customWidth="1" min="5" max="5" width="12.43"/>
    <col customWidth="1" min="6" max="8" width="8.71"/>
    <col customWidth="1" min="9" max="9" width="13.57"/>
    <col customWidth="1" min="10" max="26" width="8.71"/>
  </cols>
  <sheetData>
    <row r="1">
      <c r="A1" s="1" t="s">
        <v>0</v>
      </c>
    </row>
    <row r="2">
      <c r="A2" s="2" t="s">
        <v>132</v>
      </c>
    </row>
    <row r="3">
      <c r="B3" s="4" t="s">
        <v>2</v>
      </c>
      <c r="C3" s="1" t="s">
        <v>3</v>
      </c>
      <c r="F3" s="4" t="s">
        <v>2</v>
      </c>
      <c r="G3" s="1" t="s">
        <v>3</v>
      </c>
      <c r="I3" s="9" t="s">
        <v>133</v>
      </c>
    </row>
    <row r="4">
      <c r="A4" s="5" t="s">
        <v>4</v>
      </c>
      <c r="B4" s="18">
        <v>4.48</v>
      </c>
      <c r="C4" s="7">
        <v>1.0</v>
      </c>
      <c r="E4" s="5" t="s">
        <v>5</v>
      </c>
      <c r="F4" s="16">
        <f>(3.3+1.41+2.01)/3</f>
        <v>2.24</v>
      </c>
      <c r="G4" s="40">
        <v>3.0</v>
      </c>
      <c r="I4" s="13" t="s">
        <v>9</v>
      </c>
      <c r="J4" s="8">
        <v>4.73</v>
      </c>
    </row>
    <row r="5">
      <c r="A5" s="5" t="s">
        <v>7</v>
      </c>
      <c r="B5" s="10">
        <f>(9.48+3.74+10.82+8.49+4.45+10.4+4.66+9+7.82+9.15+1.09+9.92+9.9+6.09+7.63+12.37+5.1+3.6+4.31+2.85+3.45+2.77+3.91+7.63+3.97+9.76+4.16+4.74+3.62+7.25+7.88+4.81+6.01+6.94+9.34+4.28+7.38+7.44+1.63+5.37+1.69+5.41+5.34+3.5)/45</f>
        <v>5.981111111</v>
      </c>
      <c r="C5" s="41">
        <v>45.0</v>
      </c>
      <c r="E5" s="5" t="s">
        <v>8</v>
      </c>
      <c r="F5" s="10">
        <f>(5.84+3.45+1.83+5.16+4.01+1.59)/6</f>
        <v>3.646666667</v>
      </c>
      <c r="G5" s="41">
        <v>6.0</v>
      </c>
      <c r="I5" s="13" t="s">
        <v>12</v>
      </c>
      <c r="J5" s="8">
        <v>4.98</v>
      </c>
    </row>
    <row r="6">
      <c r="A6" s="5" t="s">
        <v>10</v>
      </c>
      <c r="B6" s="10">
        <f>(6.7+5.06)/2</f>
        <v>5.88</v>
      </c>
      <c r="C6" s="41">
        <v>2.0</v>
      </c>
      <c r="E6" s="5" t="s">
        <v>11</v>
      </c>
      <c r="F6" s="10">
        <f>(5.52+5.55+4.02+4.28+4.31+4.84+3.83+4.76+3.3+4.97+5.27+4.69+4.3+3.43+3.8)/15</f>
        <v>4.458</v>
      </c>
      <c r="G6" s="41">
        <v>15.0</v>
      </c>
      <c r="I6" s="13" t="s">
        <v>16</v>
      </c>
      <c r="J6" s="8">
        <v>4.9</v>
      </c>
    </row>
    <row r="7">
      <c r="A7" s="5" t="s">
        <v>13</v>
      </c>
      <c r="B7" s="6">
        <v>2.16</v>
      </c>
      <c r="C7" s="40">
        <v>1.0</v>
      </c>
      <c r="E7" s="5" t="s">
        <v>15</v>
      </c>
      <c r="F7" s="6">
        <v>4.12</v>
      </c>
      <c r="G7" s="40">
        <v>1.0</v>
      </c>
      <c r="I7" s="13" t="s">
        <v>19</v>
      </c>
      <c r="J7" s="8">
        <v>4.6</v>
      </c>
    </row>
    <row r="8">
      <c r="A8" s="5" t="s">
        <v>17</v>
      </c>
      <c r="B8" s="16">
        <f>(4.52+4.19+4.36+1.08+3.67+5.19)/6</f>
        <v>3.835</v>
      </c>
      <c r="C8" s="40">
        <v>6.0</v>
      </c>
      <c r="E8" s="5" t="s">
        <v>18</v>
      </c>
      <c r="F8" s="16">
        <f>(0.03+1.71+6.01+6.37+5.18+5.71+5.17+5.93+5.27)/9</f>
        <v>4.597777778</v>
      </c>
      <c r="G8" s="40">
        <v>9.0</v>
      </c>
      <c r="I8" s="13" t="s">
        <v>22</v>
      </c>
      <c r="J8" s="8">
        <v>4.91</v>
      </c>
    </row>
    <row r="9">
      <c r="A9" s="5" t="s">
        <v>20</v>
      </c>
      <c r="B9" s="17" t="s">
        <v>14</v>
      </c>
      <c r="C9" s="41">
        <v>0.0</v>
      </c>
      <c r="E9" s="5" t="s">
        <v>21</v>
      </c>
      <c r="F9" s="10">
        <f>(3.6+5.41)/2</f>
        <v>4.505</v>
      </c>
      <c r="G9" s="41">
        <v>2.0</v>
      </c>
      <c r="I9" s="13" t="s">
        <v>25</v>
      </c>
      <c r="J9" s="8">
        <v>5.27</v>
      </c>
    </row>
    <row r="10">
      <c r="A10" s="5" t="s">
        <v>23</v>
      </c>
      <c r="B10" s="17">
        <f>(4.65+8.03+7.07+5.98+5)/5</f>
        <v>6.146</v>
      </c>
      <c r="C10" s="41">
        <v>5.0</v>
      </c>
      <c r="E10" s="5" t="s">
        <v>24</v>
      </c>
      <c r="F10" s="10">
        <f>(5.75+5.47+5.82+6.72+0)/5</f>
        <v>4.752</v>
      </c>
      <c r="G10" s="41">
        <v>5.0</v>
      </c>
      <c r="I10" s="13" t="s">
        <v>28</v>
      </c>
      <c r="J10" s="8">
        <v>6.13</v>
      </c>
    </row>
    <row r="11">
      <c r="A11" s="5" t="s">
        <v>26</v>
      </c>
      <c r="B11" s="16">
        <f>(5.15+4.4+4.27)/3</f>
        <v>4.606666667</v>
      </c>
      <c r="C11" s="40">
        <v>3.0</v>
      </c>
      <c r="E11" s="5" t="s">
        <v>27</v>
      </c>
      <c r="F11" s="16">
        <f>(5.9+5.63+2.8+5.01+5.75+5.24+5.12+0)/8</f>
        <v>4.43125</v>
      </c>
      <c r="G11" s="40">
        <v>8.0</v>
      </c>
      <c r="I11" s="13" t="s">
        <v>31</v>
      </c>
      <c r="J11" s="8">
        <v>5.51</v>
      </c>
    </row>
    <row r="12">
      <c r="A12" s="5" t="s">
        <v>29</v>
      </c>
      <c r="B12" s="6" t="s">
        <v>14</v>
      </c>
      <c r="C12" s="40">
        <v>0.0</v>
      </c>
      <c r="E12" s="5" t="s">
        <v>30</v>
      </c>
      <c r="F12" s="6" t="s">
        <v>14</v>
      </c>
      <c r="G12" s="40">
        <v>0.0</v>
      </c>
      <c r="I12" s="13" t="s">
        <v>34</v>
      </c>
      <c r="J12" s="8">
        <v>5.2</v>
      </c>
    </row>
    <row r="13">
      <c r="A13" s="5" t="s">
        <v>32</v>
      </c>
      <c r="B13" s="17">
        <v>4.51</v>
      </c>
      <c r="C13" s="41">
        <v>1.0</v>
      </c>
      <c r="E13" s="5" t="s">
        <v>33</v>
      </c>
      <c r="F13" s="17" t="s">
        <v>14</v>
      </c>
      <c r="G13" s="41">
        <v>0.0</v>
      </c>
      <c r="I13" s="13" t="s">
        <v>37</v>
      </c>
      <c r="J13" s="8">
        <v>4.72</v>
      </c>
    </row>
    <row r="14">
      <c r="A14" s="5" t="s">
        <v>35</v>
      </c>
      <c r="B14" s="17">
        <v>2.84</v>
      </c>
      <c r="C14" s="41">
        <v>1.0</v>
      </c>
      <c r="E14" s="5" t="s">
        <v>36</v>
      </c>
      <c r="F14" s="10">
        <f>(5.19+4.7+4.99+5.52+4.91+4.65+5.2+5.83+5.11+3.8+5.03+5+6.31+6.52+5.99+5.07+4.45+5.36+5.61+4.78+4.67+5.84+5.58+5.22+3.96+5.32+4.54+2.43+4.2+3.83)/30</f>
        <v>4.987</v>
      </c>
      <c r="G14" s="41">
        <v>30.0</v>
      </c>
      <c r="I14" s="13" t="s">
        <v>40</v>
      </c>
      <c r="J14" s="8">
        <v>5.33</v>
      </c>
    </row>
    <row r="15">
      <c r="A15" s="5" t="s">
        <v>38</v>
      </c>
      <c r="B15" s="6">
        <v>3.54</v>
      </c>
      <c r="C15" s="40">
        <v>1.0</v>
      </c>
      <c r="E15" s="5" t="s">
        <v>39</v>
      </c>
      <c r="F15" s="6" t="s">
        <v>14</v>
      </c>
      <c r="G15" s="40">
        <v>0.0</v>
      </c>
      <c r="I15" s="13" t="s">
        <v>43</v>
      </c>
      <c r="J15" s="8">
        <v>6.83</v>
      </c>
    </row>
    <row r="16">
      <c r="A16" s="5" t="s">
        <v>41</v>
      </c>
      <c r="B16" s="16">
        <f>(6.04+6.27+5.41)/3</f>
        <v>5.906666667</v>
      </c>
      <c r="C16" s="40">
        <v>3.0</v>
      </c>
      <c r="E16" s="5" t="s">
        <v>42</v>
      </c>
      <c r="F16" s="6">
        <v>4.45</v>
      </c>
      <c r="G16" s="40">
        <v>1.0</v>
      </c>
      <c r="I16" s="13" t="s">
        <v>46</v>
      </c>
      <c r="J16" s="8">
        <v>5.03</v>
      </c>
    </row>
    <row r="17">
      <c r="A17" s="5" t="s">
        <v>44</v>
      </c>
      <c r="B17" s="17">
        <v>2.67</v>
      </c>
      <c r="C17" s="41">
        <v>1.0</v>
      </c>
      <c r="E17" s="5" t="s">
        <v>45</v>
      </c>
      <c r="F17" s="10">
        <f>(4.37+4.44+4.32+4.31+4.66+4.53+4.13+9.9+4.36+4.84)/10</f>
        <v>4.986</v>
      </c>
      <c r="G17" s="41">
        <v>10.0</v>
      </c>
      <c r="I17" s="13" t="s">
        <v>49</v>
      </c>
      <c r="J17" s="8">
        <v>4.09</v>
      </c>
    </row>
    <row r="18">
      <c r="A18" s="5" t="s">
        <v>47</v>
      </c>
      <c r="B18" s="17" t="s">
        <v>14</v>
      </c>
      <c r="C18" s="41">
        <v>0.0</v>
      </c>
      <c r="E18" s="5" t="s">
        <v>48</v>
      </c>
      <c r="F18" s="10">
        <f>(9+8.62+9.47+10.05+9.66+10.47+10.58+9.66+8.15+12.06+8.31+7.38+10.14+9.34+9.06+9.95+9.63+10.93+10.95+9.99+7.96+10.38+9.75+10.53+8.7)/25</f>
        <v>9.6288</v>
      </c>
      <c r="G18" s="41">
        <v>25.0</v>
      </c>
      <c r="I18" s="13" t="s">
        <v>52</v>
      </c>
      <c r="J18" s="8">
        <v>4.87</v>
      </c>
    </row>
    <row r="19">
      <c r="A19" s="5" t="s">
        <v>50</v>
      </c>
      <c r="B19" s="38" t="s">
        <v>14</v>
      </c>
      <c r="C19" s="46">
        <v>0.0</v>
      </c>
      <c r="E19" s="5" t="s">
        <v>51</v>
      </c>
      <c r="F19" s="16">
        <f>(10.02+9.95+7.75+8.91)/4</f>
        <v>9.1575</v>
      </c>
      <c r="G19" s="40">
        <v>4.0</v>
      </c>
      <c r="I19" s="13" t="s">
        <v>55</v>
      </c>
      <c r="J19" s="8">
        <v>4.35</v>
      </c>
    </row>
    <row r="20">
      <c r="A20" s="5" t="s">
        <v>53</v>
      </c>
      <c r="B20" s="38">
        <v>4.76</v>
      </c>
      <c r="C20" s="46">
        <v>4.0</v>
      </c>
      <c r="E20" s="5" t="s">
        <v>54</v>
      </c>
      <c r="F20" s="16">
        <f>(6.85+4.21+4.49+4.79)/4</f>
        <v>5.085</v>
      </c>
      <c r="G20" s="40">
        <v>4.0</v>
      </c>
      <c r="I20" s="13" t="s">
        <v>58</v>
      </c>
      <c r="J20" s="8">
        <v>4.49</v>
      </c>
    </row>
    <row r="21" ht="15.75" customHeight="1">
      <c r="A21" s="5" t="s">
        <v>56</v>
      </c>
      <c r="B21" s="17" t="s">
        <v>14</v>
      </c>
      <c r="C21" s="41">
        <v>0.0</v>
      </c>
      <c r="E21" s="5" t="s">
        <v>57</v>
      </c>
      <c r="F21" s="10">
        <f>(3.82+4.95+5.1+4.27+4.19+4.43+4.93+3.93+0.63+4.35)/10</f>
        <v>4.06</v>
      </c>
      <c r="G21" s="41">
        <v>10.0</v>
      </c>
      <c r="I21" s="13" t="s">
        <v>61</v>
      </c>
      <c r="J21" s="8">
        <v>5.06</v>
      </c>
    </row>
    <row r="22" ht="15.75" customHeight="1">
      <c r="A22" s="5" t="s">
        <v>59</v>
      </c>
      <c r="B22" s="17" t="s">
        <v>14</v>
      </c>
      <c r="C22" s="41">
        <v>0.0</v>
      </c>
      <c r="E22" s="5" t="s">
        <v>60</v>
      </c>
      <c r="F22" s="17" t="s">
        <v>14</v>
      </c>
      <c r="G22" s="41">
        <v>0.0</v>
      </c>
      <c r="I22" s="13" t="s">
        <v>64</v>
      </c>
      <c r="J22" s="8">
        <v>5.08</v>
      </c>
    </row>
    <row r="23" ht="15.75" customHeight="1">
      <c r="A23" s="5" t="s">
        <v>62</v>
      </c>
      <c r="B23" s="6">
        <v>8.46</v>
      </c>
      <c r="C23" s="40">
        <v>1.0</v>
      </c>
      <c r="E23" s="5" t="s">
        <v>63</v>
      </c>
      <c r="F23" s="6" t="s">
        <v>14</v>
      </c>
      <c r="G23" s="40">
        <v>0.0</v>
      </c>
      <c r="I23" s="13" t="s">
        <v>67</v>
      </c>
      <c r="J23" s="8">
        <v>4.73</v>
      </c>
    </row>
    <row r="24" ht="15.75" customHeight="1">
      <c r="A24" s="5" t="s">
        <v>65</v>
      </c>
      <c r="B24" s="6" t="s">
        <v>14</v>
      </c>
      <c r="C24" s="40">
        <v>0.0</v>
      </c>
      <c r="E24" s="5" t="s">
        <v>66</v>
      </c>
      <c r="F24" s="6" t="s">
        <v>14</v>
      </c>
      <c r="G24" s="40">
        <v>0.0</v>
      </c>
      <c r="I24" s="13" t="s">
        <v>70</v>
      </c>
      <c r="J24" s="8">
        <v>4.66</v>
      </c>
    </row>
    <row r="25" ht="15.75" customHeight="1">
      <c r="A25" s="5" t="s">
        <v>68</v>
      </c>
      <c r="B25" s="17">
        <f>(5.58+3.41+5.92+5.74)/4</f>
        <v>5.1625</v>
      </c>
      <c r="C25" s="41">
        <v>4.0</v>
      </c>
      <c r="E25" s="5" t="s">
        <v>69</v>
      </c>
      <c r="F25" s="10">
        <f>(3.81+2.46)/2</f>
        <v>3.135</v>
      </c>
      <c r="G25" s="41">
        <v>2.0</v>
      </c>
      <c r="I25" s="13" t="s">
        <v>73</v>
      </c>
      <c r="J25" s="8">
        <v>6.18</v>
      </c>
    </row>
    <row r="26" ht="15.75" customHeight="1">
      <c r="A26" s="5" t="s">
        <v>71</v>
      </c>
      <c r="B26" s="17" t="s">
        <v>14</v>
      </c>
      <c r="C26" s="41">
        <v>0.0</v>
      </c>
      <c r="E26" s="5" t="s">
        <v>72</v>
      </c>
      <c r="F26" s="17">
        <v>6.58</v>
      </c>
      <c r="G26" s="41">
        <v>1.0</v>
      </c>
      <c r="I26" s="13" t="s">
        <v>76</v>
      </c>
      <c r="J26" s="8">
        <v>6.08</v>
      </c>
    </row>
    <row r="27" ht="15.75" customHeight="1">
      <c r="A27" s="5" t="s">
        <v>74</v>
      </c>
      <c r="B27" s="6">
        <v>3.41</v>
      </c>
      <c r="C27" s="40">
        <v>1.0</v>
      </c>
      <c r="E27" s="5" t="s">
        <v>75</v>
      </c>
      <c r="F27" s="16">
        <f>(3.12+2.38+5.46+5.31+4.65+4.03+5.32)/7</f>
        <v>4.324285714</v>
      </c>
      <c r="G27" s="40">
        <v>7.0</v>
      </c>
      <c r="I27" s="13" t="s">
        <v>79</v>
      </c>
      <c r="J27" s="8">
        <v>4.72</v>
      </c>
    </row>
    <row r="28" ht="15.75" customHeight="1">
      <c r="A28" s="5" t="s">
        <v>77</v>
      </c>
      <c r="B28" s="16">
        <f>(4.43+3.61+4.42+4.47+4.05+1.13)/6</f>
        <v>3.685</v>
      </c>
      <c r="C28" s="40">
        <v>6.0</v>
      </c>
      <c r="E28" s="5" t="s">
        <v>78</v>
      </c>
      <c r="F28" s="16">
        <f>(3.73+4.02+4.31+8.8+3.69+4.31+4.08+6.11+3.09+3.37+3.87+5.84+2.99+3.67+2.85)/15</f>
        <v>4.315333333</v>
      </c>
      <c r="G28" s="40">
        <v>15.0</v>
      </c>
      <c r="I28" s="13" t="s">
        <v>82</v>
      </c>
      <c r="J28" s="8">
        <v>4.3</v>
      </c>
    </row>
    <row r="29" ht="15.75" customHeight="1">
      <c r="A29" s="5" t="s">
        <v>80</v>
      </c>
      <c r="B29" s="10">
        <f>(4.39+5+3.08)/3</f>
        <v>4.156666667</v>
      </c>
      <c r="C29" s="41">
        <v>3.0</v>
      </c>
      <c r="E29" s="5" t="s">
        <v>81</v>
      </c>
      <c r="F29" s="17" t="s">
        <v>14</v>
      </c>
      <c r="G29" s="41">
        <v>0.0</v>
      </c>
      <c r="I29" s="13" t="s">
        <v>85</v>
      </c>
      <c r="J29" s="8">
        <v>5.68</v>
      </c>
    </row>
    <row r="30" ht="15.75" customHeight="1">
      <c r="A30" s="5" t="s">
        <v>83</v>
      </c>
      <c r="B30" s="10">
        <f>(6.21+7.8)/2</f>
        <v>7.005</v>
      </c>
      <c r="C30" s="41">
        <v>2.0</v>
      </c>
      <c r="E30" s="5" t="s">
        <v>84</v>
      </c>
      <c r="F30" s="10">
        <f>(2.63+1.72)/2</f>
        <v>2.175</v>
      </c>
      <c r="G30" s="41">
        <v>2.0</v>
      </c>
      <c r="I30" s="13" t="s">
        <v>88</v>
      </c>
      <c r="J30" s="8">
        <v>4.85</v>
      </c>
    </row>
    <row r="31" ht="15.75" customHeight="1">
      <c r="A31" s="5" t="s">
        <v>86</v>
      </c>
      <c r="B31" s="16">
        <f>(5.01+5.03)/2</f>
        <v>5.02</v>
      </c>
      <c r="C31" s="40">
        <v>2.0</v>
      </c>
      <c r="E31" s="5" t="s">
        <v>87</v>
      </c>
      <c r="F31" s="6">
        <v>3.24</v>
      </c>
      <c r="G31" s="40">
        <v>1.0</v>
      </c>
      <c r="I31" s="13" t="s">
        <v>90</v>
      </c>
      <c r="J31" s="8">
        <v>4.86</v>
      </c>
    </row>
    <row r="32" ht="15.75" customHeight="1">
      <c r="A32" s="5" t="s">
        <v>64</v>
      </c>
      <c r="B32" s="6">
        <v>5.07</v>
      </c>
      <c r="C32" s="40">
        <v>1.0</v>
      </c>
      <c r="E32" s="5" t="s">
        <v>89</v>
      </c>
      <c r="F32" s="16">
        <f>(4.85+5.38+4.45+5.1+5.62+5.53)/6</f>
        <v>5.155</v>
      </c>
      <c r="G32" s="40">
        <v>6.0</v>
      </c>
      <c r="I32" s="13" t="s">
        <v>93</v>
      </c>
      <c r="J32" s="8">
        <v>7.58</v>
      </c>
    </row>
    <row r="33" ht="15.75" customHeight="1">
      <c r="A33" s="5" t="s">
        <v>91</v>
      </c>
      <c r="B33" s="17" t="s">
        <v>14</v>
      </c>
      <c r="C33" s="41">
        <v>0.0</v>
      </c>
      <c r="E33" s="5" t="s">
        <v>92</v>
      </c>
      <c r="F33" s="10">
        <f>(6+5.5)/2</f>
        <v>5.75</v>
      </c>
      <c r="G33" s="41">
        <v>2.0</v>
      </c>
      <c r="I33" s="13" t="s">
        <v>96</v>
      </c>
      <c r="J33" s="8">
        <v>4.45</v>
      </c>
    </row>
    <row r="34" ht="15.75" customHeight="1">
      <c r="A34" s="5" t="s">
        <v>94</v>
      </c>
      <c r="B34" s="17" t="s">
        <v>14</v>
      </c>
      <c r="C34" s="41">
        <v>0.0</v>
      </c>
      <c r="E34" s="5" t="s">
        <v>95</v>
      </c>
      <c r="F34" s="17">
        <v>6.32</v>
      </c>
      <c r="G34" s="41">
        <v>1.0</v>
      </c>
      <c r="I34" s="13" t="s">
        <v>99</v>
      </c>
      <c r="J34" s="8">
        <v>6.03</v>
      </c>
    </row>
    <row r="35" ht="15.75" customHeight="1">
      <c r="A35" s="5" t="s">
        <v>97</v>
      </c>
      <c r="B35" s="6" t="s">
        <v>14</v>
      </c>
      <c r="C35" s="40">
        <v>0.0</v>
      </c>
      <c r="E35" s="5" t="s">
        <v>98</v>
      </c>
      <c r="F35" s="16">
        <f>(4.32+5.46)/2</f>
        <v>4.89</v>
      </c>
      <c r="G35" s="40">
        <v>2.0</v>
      </c>
      <c r="I35" s="13" t="s">
        <v>102</v>
      </c>
      <c r="J35" s="8">
        <v>5.09</v>
      </c>
    </row>
    <row r="36" ht="15.75" customHeight="1">
      <c r="A36" s="5" t="s">
        <v>100</v>
      </c>
      <c r="B36" s="6" t="s">
        <v>14</v>
      </c>
      <c r="C36" s="40">
        <v>0.0</v>
      </c>
      <c r="E36" s="5" t="s">
        <v>101</v>
      </c>
      <c r="F36" s="16">
        <f>(4.69+4.74+4.93+4.64)/4</f>
        <v>4.75</v>
      </c>
      <c r="G36" s="40">
        <v>4.0</v>
      </c>
      <c r="I36" s="13" t="s">
        <v>104</v>
      </c>
      <c r="J36" s="8">
        <v>4.91</v>
      </c>
    </row>
    <row r="37" ht="15.75" customHeight="1">
      <c r="A37" s="5" t="s">
        <v>103</v>
      </c>
      <c r="B37" s="17" t="s">
        <v>14</v>
      </c>
      <c r="C37" s="41">
        <v>0.0</v>
      </c>
      <c r="I37" s="13" t="s">
        <v>105</v>
      </c>
      <c r="J37" s="8">
        <v>5.49</v>
      </c>
    </row>
    <row r="38" ht="15.75" customHeight="1">
      <c r="I38" s="13" t="s">
        <v>106</v>
      </c>
      <c r="J38" s="8">
        <v>5.14</v>
      </c>
    </row>
    <row r="39" ht="15.75" customHeight="1">
      <c r="I39" s="13" t="s">
        <v>107</v>
      </c>
      <c r="J39" s="8">
        <v>5.07</v>
      </c>
    </row>
    <row r="40" ht="15.75" customHeight="1">
      <c r="I40" s="13" t="s">
        <v>108</v>
      </c>
      <c r="J40" s="8">
        <v>4.85</v>
      </c>
    </row>
    <row r="41" ht="15.75" customHeight="1">
      <c r="I41" s="13" t="s">
        <v>109</v>
      </c>
      <c r="J41" s="8">
        <v>4.67</v>
      </c>
    </row>
    <row r="42" ht="15.75" customHeight="1">
      <c r="I42" s="13" t="s">
        <v>110</v>
      </c>
      <c r="J42" s="8">
        <v>5.11</v>
      </c>
    </row>
    <row r="43" ht="15.75" customHeight="1">
      <c r="I43" s="13" t="s">
        <v>111</v>
      </c>
      <c r="J43" s="8">
        <v>5.56</v>
      </c>
    </row>
    <row r="44" ht="15.75" customHeight="1">
      <c r="I44" s="13" t="s">
        <v>112</v>
      </c>
      <c r="J44" s="8">
        <v>4.85</v>
      </c>
    </row>
    <row r="45" ht="15.75" customHeight="1">
      <c r="I45" s="13" t="s">
        <v>113</v>
      </c>
      <c r="J45" s="8">
        <v>4.74</v>
      </c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H1"/>
    <mergeCell ref="A2:H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43"/>
    <col customWidth="1" min="2" max="2" width="17.0"/>
    <col customWidth="1" min="3" max="3" width="13.86"/>
    <col customWidth="1" min="4" max="4" width="8.71"/>
    <col customWidth="1" min="5" max="5" width="13.0"/>
    <col customWidth="1" min="6" max="6" width="17.29"/>
    <col customWidth="1" min="7" max="7" width="12.43"/>
    <col customWidth="1" min="8" max="8" width="17.0"/>
    <col customWidth="1" min="9" max="9" width="16.29"/>
    <col customWidth="1" min="10" max="26" width="8.71"/>
  </cols>
  <sheetData>
    <row r="1">
      <c r="A1" s="1" t="s">
        <v>0</v>
      </c>
    </row>
    <row r="2">
      <c r="A2" s="2" t="s">
        <v>114</v>
      </c>
    </row>
    <row r="3" ht="14.25" customHeight="1">
      <c r="B3" s="4" t="s">
        <v>2</v>
      </c>
      <c r="C3" s="1" t="s">
        <v>3</v>
      </c>
      <c r="F3" s="4" t="s">
        <v>2</v>
      </c>
      <c r="G3" s="1" t="s">
        <v>3</v>
      </c>
    </row>
    <row r="4" ht="27.75" customHeight="1">
      <c r="A4" s="5" t="s">
        <v>4</v>
      </c>
      <c r="B4" s="22">
        <v>5.72</v>
      </c>
      <c r="C4" s="23">
        <v>1.0</v>
      </c>
      <c r="E4" s="5" t="s">
        <v>5</v>
      </c>
      <c r="F4" s="24">
        <f>(4.27+3.16+3.33)/3</f>
        <v>3.586666667</v>
      </c>
      <c r="G4" s="23">
        <v>3.0</v>
      </c>
      <c r="I4" s="9" t="s">
        <v>115</v>
      </c>
    </row>
    <row r="5">
      <c r="A5" s="5" t="s">
        <v>7</v>
      </c>
      <c r="B5" s="25">
        <f>(5.52+4.89+3.69+4.04+4.47+2.22+3.69+5.42+4.2+3.58+3.43+4.09+3.15+3.78+3.68+5.31+3.58+3.04+3.36+3.42+3.46+3.69+3.8+5.65+3.98+4.37+4.66+3.37+3.01+4.24+5.49+3.22+2.99+3.8+3.29+3.31+3.69+3.93+4.66+3.38+3.12+3.17+3.82)/43</f>
        <v>3.875813953</v>
      </c>
      <c r="C5" s="26">
        <v>43.0</v>
      </c>
      <c r="E5" s="5" t="s">
        <v>8</v>
      </c>
      <c r="F5" s="25">
        <f>(5.89+6.22+6.92+2.96+6.57+6.99)/6</f>
        <v>5.925</v>
      </c>
      <c r="G5" s="26">
        <v>6.0</v>
      </c>
      <c r="I5" s="13" t="s">
        <v>9</v>
      </c>
      <c r="J5" s="8">
        <v>5.12</v>
      </c>
    </row>
    <row r="6">
      <c r="A6" s="5" t="s">
        <v>10</v>
      </c>
      <c r="B6" s="27">
        <v>3.75</v>
      </c>
      <c r="C6" s="26">
        <v>1.0</v>
      </c>
      <c r="E6" s="5" t="s">
        <v>11</v>
      </c>
      <c r="F6" s="25">
        <f>(4.57+2.29+4.78+4.89+1.41+3.92+3.81+3.98+4.51+4.94+4.51+4.45+5.51+3.26+4.84)/15</f>
        <v>4.111333333</v>
      </c>
      <c r="G6" s="26">
        <v>15.0</v>
      </c>
      <c r="I6" s="13" t="s">
        <v>12</v>
      </c>
      <c r="J6" s="8">
        <v>5.06</v>
      </c>
    </row>
    <row r="7">
      <c r="A7" s="5" t="s">
        <v>13</v>
      </c>
      <c r="B7" s="22" t="s">
        <v>14</v>
      </c>
      <c r="C7" s="23">
        <v>0.0</v>
      </c>
      <c r="E7" s="5" t="s">
        <v>15</v>
      </c>
      <c r="F7" s="28">
        <v>4.18</v>
      </c>
      <c r="G7" s="23">
        <v>1.0</v>
      </c>
      <c r="I7" s="13" t="s">
        <v>16</v>
      </c>
      <c r="J7" s="8">
        <v>5.12</v>
      </c>
    </row>
    <row r="8">
      <c r="A8" s="5" t="s">
        <v>17</v>
      </c>
      <c r="B8" s="29">
        <f>(4.64+4.87+4.53+4.43+4.67+4.94)/6</f>
        <v>4.68</v>
      </c>
      <c r="C8" s="23">
        <v>6.0</v>
      </c>
      <c r="E8" s="5" t="s">
        <v>18</v>
      </c>
      <c r="F8" s="24">
        <f>(5.27+6.99+5.93+5.52+4.94+5.5+3.28)/7</f>
        <v>5.347142857</v>
      </c>
      <c r="G8" s="23">
        <v>7.0</v>
      </c>
      <c r="I8" s="13" t="s">
        <v>19</v>
      </c>
      <c r="J8" s="8">
        <v>5.18</v>
      </c>
    </row>
    <row r="9">
      <c r="A9" s="5" t="s">
        <v>20</v>
      </c>
      <c r="B9" s="27" t="s">
        <v>14</v>
      </c>
      <c r="C9" s="26">
        <v>0.0</v>
      </c>
      <c r="E9" s="5" t="s">
        <v>21</v>
      </c>
      <c r="F9" s="27">
        <f>(5.82+6.44)/2</f>
        <v>6.13</v>
      </c>
      <c r="G9" s="26">
        <v>2.0</v>
      </c>
      <c r="I9" s="13" t="s">
        <v>22</v>
      </c>
      <c r="J9" s="8">
        <v>5.09</v>
      </c>
    </row>
    <row r="10">
      <c r="A10" s="5" t="s">
        <v>23</v>
      </c>
      <c r="B10" s="27">
        <f>(2.79+3.17+2.57+2.91+2.98)/5</f>
        <v>2.884</v>
      </c>
      <c r="C10" s="26">
        <v>5.0</v>
      </c>
      <c r="E10" s="5" t="s">
        <v>24</v>
      </c>
      <c r="F10" s="25">
        <f>(3.09+4.95+4.54+4.09)/4</f>
        <v>4.1675</v>
      </c>
      <c r="G10" s="26">
        <v>4.0</v>
      </c>
      <c r="I10" s="13" t="s">
        <v>25</v>
      </c>
      <c r="J10" s="8">
        <v>5.63</v>
      </c>
    </row>
    <row r="11">
      <c r="A11" s="5" t="s">
        <v>26</v>
      </c>
      <c r="B11" s="29">
        <f>(6.46+5.03+4.74)/3</f>
        <v>5.41</v>
      </c>
      <c r="C11" s="23">
        <v>3.0</v>
      </c>
      <c r="E11" s="5" t="s">
        <v>27</v>
      </c>
      <c r="F11" s="24">
        <f>(6.79+5.97+5.84+6.26+6.75+6.28+5.03+4.24+6.1)/9</f>
        <v>5.917777778</v>
      </c>
      <c r="G11" s="23">
        <v>9.0</v>
      </c>
      <c r="I11" s="13" t="s">
        <v>28</v>
      </c>
      <c r="J11" s="8">
        <v>5.51</v>
      </c>
    </row>
    <row r="12">
      <c r="A12" s="5" t="s">
        <v>29</v>
      </c>
      <c r="B12" s="22" t="s">
        <v>14</v>
      </c>
      <c r="C12" s="23">
        <v>1.0</v>
      </c>
      <c r="E12" s="5" t="s">
        <v>30</v>
      </c>
      <c r="F12" s="28" t="s">
        <v>14</v>
      </c>
      <c r="G12" s="23">
        <v>0.0</v>
      </c>
      <c r="I12" s="13" t="s">
        <v>31</v>
      </c>
      <c r="J12" s="8">
        <v>5.18</v>
      </c>
    </row>
    <row r="13">
      <c r="A13" s="5" t="s">
        <v>32</v>
      </c>
      <c r="B13" s="27">
        <v>4.77</v>
      </c>
      <c r="C13" s="26">
        <v>1.0</v>
      </c>
      <c r="E13" s="5" t="s">
        <v>33</v>
      </c>
      <c r="F13" s="27" t="s">
        <v>14</v>
      </c>
      <c r="G13" s="26">
        <v>0.0</v>
      </c>
      <c r="I13" s="13" t="s">
        <v>34</v>
      </c>
      <c r="J13" s="8">
        <v>4.85</v>
      </c>
    </row>
    <row r="14">
      <c r="A14" s="5" t="s">
        <v>35</v>
      </c>
      <c r="B14" s="27">
        <v>6.94</v>
      </c>
      <c r="C14" s="26">
        <v>1.0</v>
      </c>
      <c r="E14" s="5" t="s">
        <v>36</v>
      </c>
      <c r="F14" s="27">
        <f>(6.21+6.2+6.58+5.8+5.68+5.81+5.91+6.36+5.43+6.3+5.89+5.64+6.39+5.8+6.36+6+5.82+6.5+4.9+4.79+6.62+5.67+5.42+6.01+6.04+5.68+1.08+6.02+5.94+0.96+6.79+1.03)/32</f>
        <v>5.4884375</v>
      </c>
      <c r="G14" s="26">
        <v>32.0</v>
      </c>
      <c r="I14" s="13" t="s">
        <v>37</v>
      </c>
      <c r="J14" s="8">
        <v>5.24</v>
      </c>
    </row>
    <row r="15">
      <c r="A15" s="5" t="s">
        <v>38</v>
      </c>
      <c r="B15" s="22">
        <v>3.62</v>
      </c>
      <c r="C15" s="23">
        <v>1.0</v>
      </c>
      <c r="E15" s="5" t="s">
        <v>39</v>
      </c>
      <c r="F15" s="28" t="s">
        <v>14</v>
      </c>
      <c r="G15" s="23">
        <v>0.0</v>
      </c>
      <c r="I15" s="13" t="s">
        <v>40</v>
      </c>
      <c r="J15" s="8">
        <v>5.42</v>
      </c>
    </row>
    <row r="16">
      <c r="A16" s="5" t="s">
        <v>41</v>
      </c>
      <c r="B16" s="29">
        <f>(2.91+4.71+4.98)/3</f>
        <v>4.2</v>
      </c>
      <c r="C16" s="23">
        <v>3.0</v>
      </c>
      <c r="E16" s="5" t="s">
        <v>42</v>
      </c>
      <c r="F16" s="28">
        <v>6.36</v>
      </c>
      <c r="G16" s="23">
        <v>1.0</v>
      </c>
      <c r="I16" s="13" t="s">
        <v>43</v>
      </c>
      <c r="J16" s="8">
        <v>5.66</v>
      </c>
    </row>
    <row r="17">
      <c r="A17" s="5" t="s">
        <v>44</v>
      </c>
      <c r="B17" s="27">
        <v>6.63</v>
      </c>
      <c r="C17" s="26">
        <v>1.0</v>
      </c>
      <c r="E17" s="5" t="s">
        <v>45</v>
      </c>
      <c r="F17" s="25">
        <f>(6.02+5.72+6.04+5.6+5.45+5.96+5.78+11+5.27+5.91)/10</f>
        <v>6.275</v>
      </c>
      <c r="G17" s="26">
        <v>10.0</v>
      </c>
      <c r="I17" s="13" t="s">
        <v>46</v>
      </c>
      <c r="J17" s="8">
        <v>4.95</v>
      </c>
    </row>
    <row r="18">
      <c r="A18" s="5" t="s">
        <v>47</v>
      </c>
      <c r="B18" s="27" t="s">
        <v>14</v>
      </c>
      <c r="C18" s="26">
        <v>0.0</v>
      </c>
      <c r="E18" s="5" t="s">
        <v>48</v>
      </c>
      <c r="F18" s="25">
        <f>(2.73+3.44+3.7+3.03+3.16+2.68+2.65+4+3.88+4.21+5.01+3.28+3.1+2.88+3.02+3.1+3.02+5.05+2.95+2.52+3.19+2.86)/22</f>
        <v>3.339090909</v>
      </c>
      <c r="G18" s="26">
        <v>22.0</v>
      </c>
      <c r="I18" s="13" t="s">
        <v>49</v>
      </c>
      <c r="J18" s="8">
        <v>4.73</v>
      </c>
    </row>
    <row r="19">
      <c r="A19" s="5" t="s">
        <v>50</v>
      </c>
      <c r="B19" s="22" t="s">
        <v>14</v>
      </c>
      <c r="C19" s="23">
        <v>0.0</v>
      </c>
      <c r="E19" s="5" t="s">
        <v>51</v>
      </c>
      <c r="F19" s="24">
        <f>(4.03+3.45+3.74+3.1)/4</f>
        <v>3.58</v>
      </c>
      <c r="G19" s="23">
        <v>4.0</v>
      </c>
      <c r="I19" s="13" t="s">
        <v>52</v>
      </c>
      <c r="J19" s="8">
        <v>5.37</v>
      </c>
    </row>
    <row r="20">
      <c r="A20" s="5" t="s">
        <v>53</v>
      </c>
      <c r="B20" s="29">
        <f>(5.09+5.43+5.43+5.06)/4</f>
        <v>5.2525</v>
      </c>
      <c r="C20" s="23">
        <v>4.0</v>
      </c>
      <c r="E20" s="5" t="s">
        <v>54</v>
      </c>
      <c r="F20" s="24">
        <f>(3.94+2.26+2.96+2.95)/4</f>
        <v>3.0275</v>
      </c>
      <c r="G20" s="23">
        <v>4.0</v>
      </c>
      <c r="I20" s="13" t="s">
        <v>55</v>
      </c>
      <c r="J20" s="8">
        <v>5.19</v>
      </c>
    </row>
    <row r="21" ht="15.75" customHeight="1">
      <c r="A21" s="5" t="s">
        <v>56</v>
      </c>
      <c r="B21" s="27" t="s">
        <v>14</v>
      </c>
      <c r="C21" s="26">
        <v>0.0</v>
      </c>
      <c r="E21" s="5" t="s">
        <v>57</v>
      </c>
      <c r="F21" s="25">
        <f>(4.13+6.97+6.15+6.64+0.12+6.31+5.95+5.13+5.61)/9</f>
        <v>5.223333333</v>
      </c>
      <c r="G21" s="26">
        <v>9.0</v>
      </c>
      <c r="I21" s="13" t="s">
        <v>58</v>
      </c>
      <c r="J21" s="8">
        <v>4.36</v>
      </c>
    </row>
    <row r="22" ht="15.75" customHeight="1">
      <c r="A22" s="5" t="s">
        <v>59</v>
      </c>
      <c r="B22" s="27" t="s">
        <v>14</v>
      </c>
      <c r="C22" s="26">
        <v>0.0</v>
      </c>
      <c r="E22" s="5" t="s">
        <v>60</v>
      </c>
      <c r="F22" s="27" t="s">
        <v>14</v>
      </c>
      <c r="G22" s="26">
        <v>0.0</v>
      </c>
      <c r="I22" s="13" t="s">
        <v>61</v>
      </c>
      <c r="J22" s="8">
        <v>5.57</v>
      </c>
    </row>
    <row r="23" ht="15.75" customHeight="1">
      <c r="A23" s="5" t="s">
        <v>62</v>
      </c>
      <c r="B23" s="22">
        <v>5.05</v>
      </c>
      <c r="C23" s="23">
        <v>1.0</v>
      </c>
      <c r="E23" s="5" t="s">
        <v>63</v>
      </c>
      <c r="F23" s="28" t="s">
        <v>14</v>
      </c>
      <c r="G23" s="23">
        <v>0.0</v>
      </c>
      <c r="I23" s="13" t="s">
        <v>64</v>
      </c>
      <c r="J23" s="8">
        <v>5.75</v>
      </c>
    </row>
    <row r="24" ht="15.75" customHeight="1">
      <c r="A24" s="5" t="s">
        <v>65</v>
      </c>
      <c r="B24" s="22" t="s">
        <v>14</v>
      </c>
      <c r="C24" s="23">
        <v>0.0</v>
      </c>
      <c r="E24" s="5" t="s">
        <v>66</v>
      </c>
      <c r="F24" s="28" t="s">
        <v>14</v>
      </c>
      <c r="G24" s="23">
        <v>0.0</v>
      </c>
      <c r="I24" s="13" t="s">
        <v>67</v>
      </c>
      <c r="J24" s="8">
        <v>5.32</v>
      </c>
    </row>
    <row r="25" ht="15.75" customHeight="1">
      <c r="A25" s="5" t="s">
        <v>68</v>
      </c>
      <c r="B25" s="25">
        <f>(5.28+4.47+5.99+6.48)/4</f>
        <v>5.555</v>
      </c>
      <c r="C25" s="26">
        <v>4.0</v>
      </c>
      <c r="E25" s="5" t="s">
        <v>69</v>
      </c>
      <c r="F25" s="27">
        <f>(5.94+2.57)/2</f>
        <v>4.255</v>
      </c>
      <c r="G25" s="26">
        <v>2.0</v>
      </c>
      <c r="I25" s="13" t="s">
        <v>70</v>
      </c>
      <c r="J25" s="8">
        <v>5.32</v>
      </c>
    </row>
    <row r="26" ht="15.75" customHeight="1">
      <c r="A26" s="5" t="s">
        <v>71</v>
      </c>
      <c r="B26" s="27" t="s">
        <v>14</v>
      </c>
      <c r="C26" s="26">
        <v>0.0</v>
      </c>
      <c r="E26" s="5" t="s">
        <v>72</v>
      </c>
      <c r="F26" s="27">
        <v>2.72</v>
      </c>
      <c r="G26" s="26">
        <v>1.0</v>
      </c>
      <c r="I26" s="13" t="s">
        <v>73</v>
      </c>
      <c r="J26" s="8">
        <v>5.36</v>
      </c>
    </row>
    <row r="27" ht="15.75" customHeight="1">
      <c r="A27" s="5" t="s">
        <v>74</v>
      </c>
      <c r="B27" s="22">
        <v>6.21</v>
      </c>
      <c r="C27" s="23">
        <v>1.0</v>
      </c>
      <c r="E27" s="5" t="s">
        <v>75</v>
      </c>
      <c r="F27" s="24">
        <f>(4.99+3.88+5.91+4.62+4.56+4.32+4.74)/7</f>
        <v>4.717142857</v>
      </c>
      <c r="G27" s="23">
        <v>7.0</v>
      </c>
      <c r="I27" s="13" t="s">
        <v>76</v>
      </c>
      <c r="J27" s="8">
        <v>5.77</v>
      </c>
    </row>
    <row r="28" ht="15.75" customHeight="1">
      <c r="A28" s="5" t="s">
        <v>77</v>
      </c>
      <c r="B28" s="29">
        <f>(5.64+6.09+5.41+4.67+6.42+6.55)/6</f>
        <v>5.796666667</v>
      </c>
      <c r="C28" s="23">
        <v>6.0</v>
      </c>
      <c r="E28" s="5" t="s">
        <v>78</v>
      </c>
      <c r="F28" s="28">
        <f>(4.62+5.09+1.34+4.62+4.56+5.08+4.88+4.82+3.95+5.08+4.18+5.38+3.78+3.9+4.41+4.8)/16</f>
        <v>4.405625</v>
      </c>
      <c r="G28" s="23">
        <v>16.0</v>
      </c>
      <c r="I28" s="13" t="s">
        <v>79</v>
      </c>
      <c r="J28" s="8">
        <v>5.62</v>
      </c>
    </row>
    <row r="29" ht="15.75" customHeight="1">
      <c r="A29" s="5" t="s">
        <v>80</v>
      </c>
      <c r="B29" s="25">
        <f>(4.3+5.18+1.7)/3</f>
        <v>3.726666667</v>
      </c>
      <c r="C29" s="26">
        <v>3.0</v>
      </c>
      <c r="E29" s="5" t="s">
        <v>81</v>
      </c>
      <c r="F29" s="27">
        <v>2.5</v>
      </c>
      <c r="G29" s="26">
        <v>1.0</v>
      </c>
      <c r="I29" s="13" t="s">
        <v>82</v>
      </c>
      <c r="J29" s="8">
        <v>4.52</v>
      </c>
    </row>
    <row r="30" ht="15.75" customHeight="1">
      <c r="A30" s="5" t="s">
        <v>83</v>
      </c>
      <c r="B30" s="27">
        <v>3.43</v>
      </c>
      <c r="C30" s="26">
        <v>1.0</v>
      </c>
      <c r="E30" s="5" t="s">
        <v>84</v>
      </c>
      <c r="F30" s="25">
        <f>(6.42+5.37)/2</f>
        <v>5.895</v>
      </c>
      <c r="G30" s="26">
        <v>2.0</v>
      </c>
      <c r="I30" s="13" t="s">
        <v>85</v>
      </c>
      <c r="J30" s="8">
        <v>5.18</v>
      </c>
    </row>
    <row r="31" ht="15.75" customHeight="1">
      <c r="A31" s="5" t="s">
        <v>86</v>
      </c>
      <c r="B31" s="29">
        <f>(4.66+4.45)/2</f>
        <v>4.555</v>
      </c>
      <c r="C31" s="23">
        <v>2.0</v>
      </c>
      <c r="E31" s="5" t="s">
        <v>87</v>
      </c>
      <c r="F31" s="28">
        <v>6.1</v>
      </c>
      <c r="G31" s="23">
        <v>1.0</v>
      </c>
      <c r="I31" s="13" t="s">
        <v>88</v>
      </c>
      <c r="J31" s="8">
        <v>5.55</v>
      </c>
    </row>
    <row r="32" ht="15.75" customHeight="1">
      <c r="A32" s="5" t="s">
        <v>64</v>
      </c>
      <c r="B32" s="22">
        <v>5.05</v>
      </c>
      <c r="C32" s="23">
        <v>1.0</v>
      </c>
      <c r="E32" s="5" t="s">
        <v>89</v>
      </c>
      <c r="F32" s="24">
        <f>(4.94+3.36+3.83+3.34+4.33+1.55)/6</f>
        <v>3.558333333</v>
      </c>
      <c r="G32" s="23">
        <v>6.0</v>
      </c>
      <c r="I32" s="13" t="s">
        <v>90</v>
      </c>
      <c r="J32" s="8">
        <v>5.07</v>
      </c>
    </row>
    <row r="33" ht="15.75" customHeight="1">
      <c r="A33" s="5" t="s">
        <v>91</v>
      </c>
      <c r="B33" s="27" t="s">
        <v>14</v>
      </c>
      <c r="C33" s="26">
        <v>0.0</v>
      </c>
      <c r="E33" s="5" t="s">
        <v>92</v>
      </c>
      <c r="F33" s="25">
        <f>(5.96+4.66+4.77)/3</f>
        <v>5.13</v>
      </c>
      <c r="G33" s="26">
        <v>3.0</v>
      </c>
      <c r="I33" s="13" t="s">
        <v>93</v>
      </c>
      <c r="J33" s="8">
        <v>5.2</v>
      </c>
    </row>
    <row r="34" ht="15.75" customHeight="1">
      <c r="A34" s="5" t="s">
        <v>94</v>
      </c>
      <c r="B34" s="27" t="s">
        <v>14</v>
      </c>
      <c r="C34" s="26">
        <v>0.0</v>
      </c>
      <c r="E34" s="5" t="s">
        <v>95</v>
      </c>
      <c r="F34" s="27">
        <v>4.09</v>
      </c>
      <c r="G34" s="26">
        <v>1.0</v>
      </c>
      <c r="I34" s="13" t="s">
        <v>96</v>
      </c>
      <c r="J34" s="8">
        <v>5.14</v>
      </c>
    </row>
    <row r="35" ht="15.75" customHeight="1">
      <c r="A35" s="5" t="s">
        <v>97</v>
      </c>
      <c r="B35" s="22" t="s">
        <v>14</v>
      </c>
      <c r="C35" s="23">
        <v>0.0</v>
      </c>
      <c r="E35" s="5" t="s">
        <v>98</v>
      </c>
      <c r="F35" s="24">
        <f>(5.25+4.67)/2</f>
        <v>4.96</v>
      </c>
      <c r="G35" s="23">
        <v>2.0</v>
      </c>
      <c r="I35" s="13" t="s">
        <v>99</v>
      </c>
      <c r="J35" s="8">
        <v>4.71</v>
      </c>
    </row>
    <row r="36" ht="15.75" customHeight="1">
      <c r="A36" s="5" t="s">
        <v>100</v>
      </c>
      <c r="B36" s="22" t="s">
        <v>14</v>
      </c>
      <c r="C36" s="23">
        <v>0.0</v>
      </c>
      <c r="E36" s="5" t="s">
        <v>101</v>
      </c>
      <c r="F36" s="24">
        <f>(6.25+3.3+5.22+6.31)/4</f>
        <v>5.27</v>
      </c>
      <c r="G36" s="23">
        <v>4.0</v>
      </c>
      <c r="I36" s="13" t="s">
        <v>102</v>
      </c>
      <c r="J36" s="8">
        <v>5.23</v>
      </c>
    </row>
    <row r="37" ht="15.75" customHeight="1">
      <c r="A37" s="5" t="s">
        <v>103</v>
      </c>
      <c r="B37" s="27">
        <v>3.08</v>
      </c>
      <c r="C37" s="26">
        <v>1.0</v>
      </c>
      <c r="I37" s="13" t="s">
        <v>104</v>
      </c>
      <c r="J37" s="8">
        <v>4.97</v>
      </c>
    </row>
    <row r="38" ht="15.75" customHeight="1">
      <c r="B38" s="30"/>
      <c r="I38" s="13" t="s">
        <v>105</v>
      </c>
      <c r="J38" s="8">
        <v>5.34</v>
      </c>
    </row>
    <row r="39" ht="15.75" customHeight="1">
      <c r="B39" s="30"/>
      <c r="I39" s="13" t="s">
        <v>106</v>
      </c>
      <c r="J39" s="8">
        <v>5.24</v>
      </c>
    </row>
    <row r="40" ht="15.75" customHeight="1">
      <c r="I40" s="13" t="s">
        <v>107</v>
      </c>
      <c r="J40" s="8">
        <v>5.64</v>
      </c>
    </row>
    <row r="41" ht="15.75" customHeight="1">
      <c r="I41" s="13" t="s">
        <v>108</v>
      </c>
      <c r="J41" s="8">
        <v>5.15</v>
      </c>
    </row>
    <row r="42" ht="15.75" customHeight="1">
      <c r="I42" s="13" t="s">
        <v>109</v>
      </c>
      <c r="J42" s="8">
        <v>5.19</v>
      </c>
    </row>
    <row r="43" ht="15.75" customHeight="1">
      <c r="I43" s="13" t="s">
        <v>110</v>
      </c>
      <c r="J43" s="8">
        <v>4.88</v>
      </c>
    </row>
    <row r="44" ht="15.75" customHeight="1">
      <c r="I44" s="13" t="s">
        <v>111</v>
      </c>
      <c r="J44" s="8">
        <v>5.4</v>
      </c>
    </row>
    <row r="45" ht="15.75" customHeight="1">
      <c r="I45" s="13" t="s">
        <v>112</v>
      </c>
      <c r="J45" s="8">
        <v>5.16</v>
      </c>
    </row>
    <row r="46" ht="15.75" customHeight="1">
      <c r="I46" s="13" t="s">
        <v>113</v>
      </c>
      <c r="J46" s="8">
        <v>5.3</v>
      </c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H1"/>
    <mergeCell ref="A2:H2"/>
  </mergeCell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43"/>
    <col customWidth="1" min="2" max="2" width="17.0"/>
    <col customWidth="1" min="3" max="3" width="13.86"/>
    <col customWidth="1" min="4" max="4" width="8.71"/>
    <col customWidth="1" min="5" max="5" width="13.0"/>
    <col customWidth="1" min="6" max="6" width="17.29"/>
    <col customWidth="1" min="7" max="7" width="12.43"/>
    <col customWidth="1" min="8" max="8" width="17.0"/>
    <col customWidth="1" min="9" max="9" width="13.43"/>
    <col customWidth="1" min="10" max="26" width="8.71"/>
  </cols>
  <sheetData>
    <row r="1">
      <c r="A1" s="1" t="s">
        <v>0</v>
      </c>
    </row>
    <row r="2">
      <c r="A2" s="2" t="s">
        <v>116</v>
      </c>
    </row>
    <row r="3">
      <c r="B3" s="4" t="s">
        <v>2</v>
      </c>
      <c r="C3" s="1" t="s">
        <v>3</v>
      </c>
      <c r="F3" s="4" t="s">
        <v>2</v>
      </c>
      <c r="G3" s="1" t="s">
        <v>3</v>
      </c>
      <c r="I3" s="9" t="s">
        <v>117</v>
      </c>
    </row>
    <row r="4">
      <c r="A4" s="5" t="s">
        <v>4</v>
      </c>
      <c r="B4" s="28">
        <v>7.27</v>
      </c>
      <c r="C4" s="23">
        <v>1.0</v>
      </c>
      <c r="E4" s="5" t="s">
        <v>5</v>
      </c>
      <c r="F4" s="24">
        <f>(4.94+5.99+4.64)/3</f>
        <v>5.19</v>
      </c>
      <c r="G4" s="23">
        <v>3.0</v>
      </c>
      <c r="I4" s="13" t="s">
        <v>9</v>
      </c>
      <c r="J4" s="8">
        <v>6.21</v>
      </c>
    </row>
    <row r="5">
      <c r="A5" s="5" t="s">
        <v>7</v>
      </c>
      <c r="B5" s="31">
        <f>(6.51+5.36+6.07+7.72+6.06+6.66+5.53+8.77+5.65+5.82+2.37+7.7+7.62+7.03+7.94+5.78+5.39+5.55+1.58+4.77+5.58+5.42+5.22+4.65+8.25+5.4+6.36+5.71+6.35+4.71+7.64+8.36+7.02+7.33+8.34+5.32+2.32)/37</f>
        <v>6.05027027</v>
      </c>
      <c r="C5" s="32">
        <v>37.0</v>
      </c>
      <c r="E5" s="5" t="s">
        <v>8</v>
      </c>
      <c r="F5" s="31">
        <f>(6.41+6.23+6.24+7.27+4+5.81)/6</f>
        <v>5.993333333</v>
      </c>
      <c r="G5" s="32">
        <v>6.0</v>
      </c>
      <c r="I5" s="13" t="s">
        <v>12</v>
      </c>
      <c r="J5" s="8">
        <v>6.76</v>
      </c>
    </row>
    <row r="6">
      <c r="A6" s="5" t="s">
        <v>10</v>
      </c>
      <c r="B6" s="31">
        <f>(6.42+6.69)/2</f>
        <v>6.555</v>
      </c>
      <c r="C6" s="32">
        <v>2.0</v>
      </c>
      <c r="E6" s="5" t="s">
        <v>11</v>
      </c>
      <c r="F6" s="31">
        <f>(6.39+4.7+5.49+2.19+4.75+5.55+5.86+1+5.32+3.41+5.04+8.55+6.75+7.88+6.15+2.41+11.19)/17</f>
        <v>5.448823529</v>
      </c>
      <c r="G6" s="32">
        <v>17.0</v>
      </c>
      <c r="I6" s="13" t="s">
        <v>16</v>
      </c>
      <c r="J6" s="8">
        <v>7.09</v>
      </c>
    </row>
    <row r="7">
      <c r="A7" s="5" t="s">
        <v>13</v>
      </c>
      <c r="B7" s="28" t="s">
        <v>14</v>
      </c>
      <c r="C7" s="23">
        <v>0.0</v>
      </c>
      <c r="E7" s="5" t="s">
        <v>15</v>
      </c>
      <c r="F7" s="28">
        <v>5.69</v>
      </c>
      <c r="G7" s="23">
        <v>1.0</v>
      </c>
      <c r="I7" s="13" t="s">
        <v>19</v>
      </c>
      <c r="J7" s="8">
        <v>6.03</v>
      </c>
    </row>
    <row r="8">
      <c r="A8" s="5" t="s">
        <v>17</v>
      </c>
      <c r="B8" s="24">
        <f>(9.27+7.28+8.2+5.17+9.56+6.39)/6</f>
        <v>7.645</v>
      </c>
      <c r="C8" s="23">
        <v>6.0</v>
      </c>
      <c r="E8" s="5" t="s">
        <v>18</v>
      </c>
      <c r="F8" s="24">
        <f>(7.24+7.46+6.15+6.96+6.79+7.03+7.18+6.87)/8</f>
        <v>6.96</v>
      </c>
      <c r="G8" s="23">
        <v>8.0</v>
      </c>
      <c r="I8" s="13" t="s">
        <v>22</v>
      </c>
      <c r="J8" s="8">
        <v>6.63</v>
      </c>
    </row>
    <row r="9">
      <c r="A9" s="5" t="s">
        <v>20</v>
      </c>
      <c r="B9" s="33" t="s">
        <v>14</v>
      </c>
      <c r="C9" s="32">
        <v>0.0</v>
      </c>
      <c r="E9" s="5" t="s">
        <v>21</v>
      </c>
      <c r="F9" s="31">
        <f>(5.91+6.79+6.31)/3</f>
        <v>6.336666667</v>
      </c>
      <c r="G9" s="32">
        <v>3.0</v>
      </c>
      <c r="I9" s="13" t="s">
        <v>25</v>
      </c>
      <c r="J9" s="8">
        <v>7.16</v>
      </c>
    </row>
    <row r="10">
      <c r="A10" s="5" t="s">
        <v>23</v>
      </c>
      <c r="B10" s="33">
        <v>5.31</v>
      </c>
      <c r="C10" s="32">
        <v>1.0</v>
      </c>
      <c r="E10" s="5" t="s">
        <v>24</v>
      </c>
      <c r="F10" s="31">
        <f>(8.12+7.59+9.6+9.39+6.46)/5</f>
        <v>8.232</v>
      </c>
      <c r="G10" s="32">
        <v>5.0</v>
      </c>
      <c r="I10" s="13" t="s">
        <v>28</v>
      </c>
      <c r="J10" s="8">
        <v>5.92</v>
      </c>
    </row>
    <row r="11">
      <c r="A11" s="5" t="s">
        <v>26</v>
      </c>
      <c r="B11" s="24">
        <f>(5.68+5.82+3.02)/3</f>
        <v>4.84</v>
      </c>
      <c r="C11" s="23">
        <v>3.0</v>
      </c>
      <c r="E11" s="5" t="s">
        <v>27</v>
      </c>
      <c r="F11" s="24">
        <f>(6.79+6.47+6.58+6.35+5.75+6.2+7.2+6.91)/8</f>
        <v>6.53125</v>
      </c>
      <c r="G11" s="23">
        <v>8.0</v>
      </c>
      <c r="I11" s="13" t="s">
        <v>31</v>
      </c>
      <c r="J11" s="8">
        <v>6.54</v>
      </c>
    </row>
    <row r="12">
      <c r="A12" s="5" t="s">
        <v>29</v>
      </c>
      <c r="B12" s="28" t="s">
        <v>14</v>
      </c>
      <c r="C12" s="23">
        <v>0.0</v>
      </c>
      <c r="E12" s="5" t="s">
        <v>30</v>
      </c>
      <c r="F12" s="28" t="s">
        <v>14</v>
      </c>
      <c r="G12" s="23">
        <v>0.0</v>
      </c>
      <c r="I12" s="13" t="s">
        <v>34</v>
      </c>
      <c r="J12" s="8">
        <v>6.38</v>
      </c>
    </row>
    <row r="13">
      <c r="A13" s="5" t="s">
        <v>32</v>
      </c>
      <c r="B13" s="33" t="s">
        <v>14</v>
      </c>
      <c r="C13" s="32">
        <v>0.0</v>
      </c>
      <c r="E13" s="5" t="s">
        <v>33</v>
      </c>
      <c r="F13" s="33" t="s">
        <v>14</v>
      </c>
      <c r="G13" s="32">
        <v>0.0</v>
      </c>
      <c r="I13" s="13" t="s">
        <v>37</v>
      </c>
      <c r="J13" s="8">
        <v>6.04</v>
      </c>
    </row>
    <row r="14">
      <c r="A14" s="5" t="s">
        <v>35</v>
      </c>
      <c r="B14" s="33">
        <v>6.89</v>
      </c>
      <c r="C14" s="32">
        <v>1.0</v>
      </c>
      <c r="E14" s="5" t="s">
        <v>36</v>
      </c>
      <c r="F14" s="31">
        <f>(5.66+8.05+5.33+5.22+6.15+4.52+7.06+7.86+5.88+6.91+5.69+5.67+7.03+6.01+7.3+6.26+7.07+4.76+5.71+5.7+5.25+6.02+5.56+5.57+4.86+6.76+1.8+2.97)/28</f>
        <v>5.808214286</v>
      </c>
      <c r="G14" s="32">
        <v>28.0</v>
      </c>
      <c r="I14" s="13" t="s">
        <v>40</v>
      </c>
      <c r="J14" s="8">
        <v>7.39</v>
      </c>
    </row>
    <row r="15">
      <c r="A15" s="5" t="s">
        <v>38</v>
      </c>
      <c r="B15" s="28">
        <v>8.12</v>
      </c>
      <c r="C15" s="23">
        <v>1.0</v>
      </c>
      <c r="E15" s="5" t="s">
        <v>39</v>
      </c>
      <c r="F15" s="28" t="s">
        <v>14</v>
      </c>
      <c r="G15" s="23">
        <v>0.0</v>
      </c>
      <c r="I15" s="13" t="s">
        <v>43</v>
      </c>
      <c r="J15" s="8">
        <v>6.37</v>
      </c>
    </row>
    <row r="16">
      <c r="A16" s="5" t="s">
        <v>41</v>
      </c>
      <c r="B16" s="24">
        <f>(10.94+9.41)/2</f>
        <v>10.175</v>
      </c>
      <c r="C16" s="23">
        <v>2.0</v>
      </c>
      <c r="E16" s="5" t="s">
        <v>42</v>
      </c>
      <c r="F16" s="28">
        <v>7.65</v>
      </c>
      <c r="G16" s="23">
        <v>1.0</v>
      </c>
      <c r="I16" s="13" t="s">
        <v>46</v>
      </c>
      <c r="J16" s="8">
        <v>6.28</v>
      </c>
    </row>
    <row r="17">
      <c r="A17" s="5" t="s">
        <v>44</v>
      </c>
      <c r="B17" s="33">
        <v>6.33</v>
      </c>
      <c r="C17" s="32">
        <v>1.0</v>
      </c>
      <c r="E17" s="5" t="s">
        <v>45</v>
      </c>
      <c r="F17" s="31">
        <f>(5.9+5.78+6.24+6.35+5.68+5.89+5.24+8.9+5.63+6.04)/10</f>
        <v>6.165</v>
      </c>
      <c r="G17" s="32">
        <v>10.0</v>
      </c>
      <c r="I17" s="13" t="s">
        <v>49</v>
      </c>
      <c r="J17" s="8">
        <v>6.18</v>
      </c>
    </row>
    <row r="18">
      <c r="A18" s="5" t="s">
        <v>47</v>
      </c>
      <c r="B18" s="33" t="s">
        <v>14</v>
      </c>
      <c r="C18" s="32">
        <v>0.0</v>
      </c>
      <c r="E18" s="5" t="s">
        <v>48</v>
      </c>
      <c r="F18" s="31">
        <f>(6.53+5.94+5.15+5.88+6.06+7.23+5.59+6.43+5.98+6.31+6.27+7.37+6.22+6.82+5.87+7.36+6.06+5.17+5.29+6.1+6.49+4.66+3.56+1.61)/24</f>
        <v>5.83125</v>
      </c>
      <c r="G18" s="32">
        <v>24.0</v>
      </c>
      <c r="I18" s="13" t="s">
        <v>52</v>
      </c>
      <c r="J18" s="8">
        <v>6.47</v>
      </c>
    </row>
    <row r="19">
      <c r="A19" s="5" t="s">
        <v>50</v>
      </c>
      <c r="B19" s="33" t="s">
        <v>14</v>
      </c>
      <c r="C19" s="32">
        <v>0.0</v>
      </c>
      <c r="E19" s="5" t="s">
        <v>51</v>
      </c>
      <c r="F19" s="24">
        <f>(7.98+9.4+9.13+9.6)/4</f>
        <v>9.0275</v>
      </c>
      <c r="G19" s="23">
        <v>4.0</v>
      </c>
      <c r="I19" s="13" t="s">
        <v>55</v>
      </c>
      <c r="J19" s="8">
        <v>6.65</v>
      </c>
    </row>
    <row r="20">
      <c r="A20" s="5" t="s">
        <v>53</v>
      </c>
      <c r="B20" s="24">
        <f>(6.73+6.48+6.4+6.64+4.99+1.5)/6</f>
        <v>5.456666667</v>
      </c>
      <c r="C20" s="23">
        <v>6.0</v>
      </c>
      <c r="E20" s="5" t="s">
        <v>54</v>
      </c>
      <c r="F20" s="24">
        <f>(11.51+7.88+10.04+7.98)/4</f>
        <v>9.3525</v>
      </c>
      <c r="G20" s="23">
        <v>4.0</v>
      </c>
      <c r="I20" s="13" t="s">
        <v>58</v>
      </c>
      <c r="J20" s="8">
        <v>6.19</v>
      </c>
    </row>
    <row r="21" ht="15.75" customHeight="1">
      <c r="A21" s="5" t="s">
        <v>56</v>
      </c>
      <c r="B21" s="33" t="s">
        <v>14</v>
      </c>
      <c r="C21" s="32">
        <v>0.0</v>
      </c>
      <c r="E21" s="5" t="s">
        <v>57</v>
      </c>
      <c r="F21" s="31">
        <f>(5.57+6+5.25+5.18+6.42+5.42+4.82+5.21+5.44)/9</f>
        <v>5.478888889</v>
      </c>
      <c r="G21" s="32">
        <v>9.0</v>
      </c>
      <c r="I21" s="13" t="s">
        <v>61</v>
      </c>
      <c r="J21" s="8">
        <v>6.52</v>
      </c>
    </row>
    <row r="22" ht="15.75" customHeight="1">
      <c r="A22" s="5" t="s">
        <v>59</v>
      </c>
      <c r="B22" s="33" t="s">
        <v>14</v>
      </c>
      <c r="C22" s="32">
        <v>0.0</v>
      </c>
      <c r="E22" s="5" t="s">
        <v>60</v>
      </c>
      <c r="F22" s="33" t="s">
        <v>14</v>
      </c>
      <c r="G22" s="32">
        <v>0.0</v>
      </c>
      <c r="I22" s="13" t="s">
        <v>64</v>
      </c>
      <c r="J22" s="8">
        <v>7.0</v>
      </c>
    </row>
    <row r="23" ht="15.75" customHeight="1">
      <c r="A23" s="5" t="s">
        <v>62</v>
      </c>
      <c r="B23" s="28">
        <v>10.94</v>
      </c>
      <c r="C23" s="23">
        <v>1.0</v>
      </c>
      <c r="E23" s="5" t="s">
        <v>63</v>
      </c>
      <c r="F23" s="28" t="s">
        <v>14</v>
      </c>
      <c r="G23" s="23">
        <v>0.0</v>
      </c>
      <c r="I23" s="13" t="s">
        <v>67</v>
      </c>
      <c r="J23" s="8">
        <v>6.91</v>
      </c>
    </row>
    <row r="24" ht="15.75" customHeight="1">
      <c r="A24" s="5" t="s">
        <v>65</v>
      </c>
      <c r="B24" s="28" t="s">
        <v>14</v>
      </c>
      <c r="C24" s="23">
        <v>0.0</v>
      </c>
      <c r="E24" s="5" t="s">
        <v>66</v>
      </c>
      <c r="F24" s="28" t="s">
        <v>14</v>
      </c>
      <c r="G24" s="23">
        <v>0.0</v>
      </c>
      <c r="I24" s="13" t="s">
        <v>70</v>
      </c>
      <c r="J24" s="8">
        <v>6.28</v>
      </c>
    </row>
    <row r="25" ht="15.75" customHeight="1">
      <c r="A25" s="5" t="s">
        <v>68</v>
      </c>
      <c r="B25" s="31">
        <f>(6.48+5.43+6.65+3.3)/4</f>
        <v>5.465</v>
      </c>
      <c r="C25" s="32">
        <v>4.0</v>
      </c>
      <c r="E25" s="5" t="s">
        <v>69</v>
      </c>
      <c r="F25" s="33">
        <f>(8.1+3.88)/2</f>
        <v>5.99</v>
      </c>
      <c r="G25" s="32">
        <v>2.0</v>
      </c>
      <c r="I25" s="13" t="s">
        <v>73</v>
      </c>
      <c r="J25" s="8">
        <v>6.5</v>
      </c>
    </row>
    <row r="26" ht="15.75" customHeight="1">
      <c r="A26" s="5" t="s">
        <v>71</v>
      </c>
      <c r="B26" s="33" t="s">
        <v>14</v>
      </c>
      <c r="C26" s="32">
        <v>0.0</v>
      </c>
      <c r="E26" s="5" t="s">
        <v>72</v>
      </c>
      <c r="F26" s="33">
        <v>10.2</v>
      </c>
      <c r="G26" s="32">
        <v>1.0</v>
      </c>
      <c r="I26" s="13" t="s">
        <v>76</v>
      </c>
      <c r="J26" s="8">
        <v>6.33</v>
      </c>
    </row>
    <row r="27" ht="15.75" customHeight="1">
      <c r="A27" s="5" t="s">
        <v>74</v>
      </c>
      <c r="B27" s="28">
        <v>7.56</v>
      </c>
      <c r="C27" s="23">
        <v>1.0</v>
      </c>
      <c r="E27" s="5" t="s">
        <v>75</v>
      </c>
      <c r="F27" s="24">
        <f>(4.8+3.24+5.86+7.02+6.78+5.47+4.05)/7</f>
        <v>5.317142857</v>
      </c>
      <c r="G27" s="23">
        <v>7.0</v>
      </c>
      <c r="I27" s="13" t="s">
        <v>79</v>
      </c>
      <c r="J27" s="8">
        <v>6.88</v>
      </c>
    </row>
    <row r="28" ht="15.75" customHeight="1">
      <c r="A28" s="5" t="s">
        <v>77</v>
      </c>
      <c r="B28" s="24">
        <f>(6.86+6.25+5.5+6.35+7.67+6.83+7.04)/7</f>
        <v>6.642857143</v>
      </c>
      <c r="C28" s="23">
        <v>7.0</v>
      </c>
      <c r="E28" s="5" t="s">
        <v>78</v>
      </c>
      <c r="F28" s="24">
        <f>(4.16+4.76+4.77+6.18+5.32+4.32+5.33+4.46+4.6+4.4+4.72+4.79+5.16+2.87+2.85+5.66+4.86+4.68)/18</f>
        <v>4.660555556</v>
      </c>
      <c r="G28" s="23">
        <v>18.0</v>
      </c>
      <c r="I28" s="13" t="s">
        <v>82</v>
      </c>
      <c r="J28" s="8">
        <v>6.3</v>
      </c>
    </row>
    <row r="29" ht="15.75" customHeight="1">
      <c r="A29" s="5" t="s">
        <v>80</v>
      </c>
      <c r="B29" s="31">
        <f>(7.56+7.28+6.93+5.8+4.34)/5</f>
        <v>6.382</v>
      </c>
      <c r="C29" s="32">
        <v>5.0</v>
      </c>
      <c r="E29" s="5" t="s">
        <v>81</v>
      </c>
      <c r="F29" s="33" t="s">
        <v>14</v>
      </c>
      <c r="G29" s="32">
        <v>0.0</v>
      </c>
      <c r="I29" s="13" t="s">
        <v>85</v>
      </c>
      <c r="J29" s="8">
        <v>6.8</v>
      </c>
    </row>
    <row r="30" ht="15.75" customHeight="1">
      <c r="A30" s="5" t="s">
        <v>83</v>
      </c>
      <c r="B30" s="31">
        <f>(7.81+8.12)/2</f>
        <v>7.965</v>
      </c>
      <c r="C30" s="32">
        <v>2.0</v>
      </c>
      <c r="E30" s="5" t="s">
        <v>84</v>
      </c>
      <c r="F30" s="31">
        <f>(5.83+5.09)/2</f>
        <v>5.46</v>
      </c>
      <c r="G30" s="32">
        <v>2.0</v>
      </c>
      <c r="I30" s="13" t="s">
        <v>88</v>
      </c>
      <c r="J30" s="8">
        <v>6.71</v>
      </c>
    </row>
    <row r="31" ht="15.75" customHeight="1">
      <c r="A31" s="5" t="s">
        <v>86</v>
      </c>
      <c r="B31" s="24">
        <f>(8.85+7.31)/2</f>
        <v>8.08</v>
      </c>
      <c r="C31" s="23">
        <v>2.0</v>
      </c>
      <c r="E31" s="5" t="s">
        <v>87</v>
      </c>
      <c r="F31" s="24">
        <f>(7.29+5.3)/2</f>
        <v>6.295</v>
      </c>
      <c r="G31" s="23">
        <v>2.0</v>
      </c>
      <c r="I31" s="13" t="s">
        <v>90</v>
      </c>
      <c r="J31" s="8">
        <v>6.2</v>
      </c>
    </row>
    <row r="32" ht="15.75" customHeight="1">
      <c r="A32" s="5" t="s">
        <v>64</v>
      </c>
      <c r="B32" s="28">
        <f>(2.57+9.79)/2</f>
        <v>6.18</v>
      </c>
      <c r="C32" s="23">
        <v>2.0</v>
      </c>
      <c r="E32" s="5" t="s">
        <v>89</v>
      </c>
      <c r="F32" s="24">
        <f>(5.96+4.28+6.64+4.95+8.73+1.99)/6</f>
        <v>5.425</v>
      </c>
      <c r="G32" s="23">
        <v>6.0</v>
      </c>
      <c r="I32" s="13" t="s">
        <v>93</v>
      </c>
      <c r="J32" s="8">
        <v>7.22</v>
      </c>
    </row>
    <row r="33" ht="15.75" customHeight="1">
      <c r="A33" s="5" t="s">
        <v>91</v>
      </c>
      <c r="B33" s="33" t="s">
        <v>14</v>
      </c>
      <c r="C33" s="32">
        <v>0.0</v>
      </c>
      <c r="E33" s="5" t="s">
        <v>92</v>
      </c>
      <c r="F33" s="31">
        <f>(8.87+9.83)/2</f>
        <v>9.35</v>
      </c>
      <c r="G33" s="32">
        <v>2.0</v>
      </c>
      <c r="I33" s="13" t="s">
        <v>96</v>
      </c>
      <c r="J33" s="8">
        <v>6.08</v>
      </c>
    </row>
    <row r="34" ht="15.75" customHeight="1">
      <c r="A34" s="5" t="s">
        <v>94</v>
      </c>
      <c r="B34" s="27">
        <v>5.9</v>
      </c>
      <c r="C34" s="26">
        <v>1.0</v>
      </c>
      <c r="E34" s="5" t="s">
        <v>95</v>
      </c>
      <c r="F34" s="33">
        <v>10.39</v>
      </c>
      <c r="G34" s="32">
        <v>1.0</v>
      </c>
      <c r="I34" s="13" t="s">
        <v>99</v>
      </c>
      <c r="J34" s="8">
        <v>6.42</v>
      </c>
    </row>
    <row r="35" ht="15.75" customHeight="1">
      <c r="A35" s="5" t="s">
        <v>97</v>
      </c>
      <c r="B35" s="28" t="s">
        <v>14</v>
      </c>
      <c r="C35" s="23">
        <v>0.0</v>
      </c>
      <c r="E35" s="5" t="s">
        <v>98</v>
      </c>
      <c r="F35" s="24">
        <f>(11.02+10.47)/2</f>
        <v>10.745</v>
      </c>
      <c r="G35" s="23">
        <v>2.0</v>
      </c>
      <c r="I35" s="13" t="s">
        <v>102</v>
      </c>
      <c r="J35" s="8">
        <v>6.28</v>
      </c>
    </row>
    <row r="36" ht="15.75" customHeight="1">
      <c r="A36" s="5" t="s">
        <v>100</v>
      </c>
      <c r="B36" s="28" t="s">
        <v>14</v>
      </c>
      <c r="C36" s="23">
        <v>0.0</v>
      </c>
      <c r="E36" s="5" t="s">
        <v>101</v>
      </c>
      <c r="F36" s="24">
        <f>(6.94+6.57+7.08+4.96)/4</f>
        <v>6.3875</v>
      </c>
      <c r="G36" s="23">
        <v>4.0</v>
      </c>
      <c r="I36" s="13" t="s">
        <v>104</v>
      </c>
      <c r="J36" s="8">
        <v>6.51</v>
      </c>
    </row>
    <row r="37" ht="15.75" customHeight="1">
      <c r="A37" s="5" t="s">
        <v>103</v>
      </c>
      <c r="B37" s="33" t="s">
        <v>14</v>
      </c>
      <c r="C37" s="32">
        <v>0.0</v>
      </c>
      <c r="I37" s="13" t="s">
        <v>105</v>
      </c>
      <c r="J37" s="8">
        <v>6.73</v>
      </c>
    </row>
    <row r="38" ht="15.75" customHeight="1">
      <c r="I38" s="13" t="s">
        <v>106</v>
      </c>
      <c r="J38" s="8">
        <v>6.43</v>
      </c>
    </row>
    <row r="39" ht="15.75" customHeight="1">
      <c r="I39" s="13" t="s">
        <v>107</v>
      </c>
      <c r="J39" s="8">
        <v>6.93</v>
      </c>
    </row>
    <row r="40" ht="15.75" customHeight="1">
      <c r="I40" s="13" t="s">
        <v>108</v>
      </c>
      <c r="J40" s="8">
        <v>6.22</v>
      </c>
    </row>
    <row r="41" ht="15.75" customHeight="1">
      <c r="I41" s="13" t="s">
        <v>109</v>
      </c>
      <c r="J41" s="8">
        <v>6.21</v>
      </c>
    </row>
    <row r="42" ht="15.75" customHeight="1">
      <c r="I42" s="13" t="s">
        <v>110</v>
      </c>
      <c r="J42" s="8">
        <v>6.21</v>
      </c>
    </row>
    <row r="43" ht="15.75" customHeight="1">
      <c r="I43" s="13" t="s">
        <v>111</v>
      </c>
      <c r="J43" s="8">
        <v>6.78</v>
      </c>
    </row>
    <row r="44" ht="15.75" customHeight="1">
      <c r="I44" s="13" t="s">
        <v>112</v>
      </c>
      <c r="J44" s="8">
        <v>6.26</v>
      </c>
    </row>
    <row r="45" ht="15.75" customHeight="1">
      <c r="I45" s="13" t="s">
        <v>113</v>
      </c>
      <c r="J45" s="8">
        <v>6.06</v>
      </c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H1"/>
    <mergeCell ref="A2:H2"/>
  </mergeCells>
  <printOptions/>
  <pageMargins bottom="0.75" footer="0.0" header="0.0" left="0.7" right="0.7" top="0.75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43"/>
    <col customWidth="1" min="2" max="2" width="17.0"/>
    <col customWidth="1" min="3" max="3" width="13.86"/>
    <col customWidth="1" min="4" max="4" width="8.71"/>
    <col customWidth="1" min="5" max="5" width="13.0"/>
    <col customWidth="1" min="6" max="6" width="17.29"/>
    <col customWidth="1" min="7" max="7" width="12.43"/>
    <col customWidth="1" min="8" max="8" width="17.0"/>
    <col customWidth="1" min="9" max="9" width="13.43"/>
    <col customWidth="1" min="10" max="26" width="8.71"/>
  </cols>
  <sheetData>
    <row r="1">
      <c r="A1" s="1" t="s">
        <v>0</v>
      </c>
    </row>
    <row r="2">
      <c r="A2" s="2" t="s">
        <v>118</v>
      </c>
    </row>
    <row r="3">
      <c r="B3" s="4" t="s">
        <v>2</v>
      </c>
      <c r="C3" s="1" t="s">
        <v>3</v>
      </c>
      <c r="F3" s="4" t="s">
        <v>2</v>
      </c>
      <c r="G3" s="1" t="s">
        <v>3</v>
      </c>
      <c r="I3" s="9" t="s">
        <v>117</v>
      </c>
    </row>
    <row r="4">
      <c r="A4" s="5" t="s">
        <v>4</v>
      </c>
      <c r="B4" s="28">
        <v>3.06</v>
      </c>
      <c r="C4" s="23">
        <v>1.0</v>
      </c>
      <c r="E4" s="5" t="s">
        <v>5</v>
      </c>
      <c r="F4" s="24">
        <f>(7.05+4.06+6.37)/3</f>
        <v>5.826666667</v>
      </c>
      <c r="G4" s="23">
        <v>3.0</v>
      </c>
      <c r="I4" s="13" t="s">
        <v>9</v>
      </c>
      <c r="J4" s="8">
        <v>4.08</v>
      </c>
    </row>
    <row r="5">
      <c r="A5" s="34" t="s">
        <v>7</v>
      </c>
      <c r="B5" s="31">
        <f>(3.28+3.86+6.02+5.9+2.97+5.19+2.5+5.84+3.43+3.81+3.78+4.22+5.51+4.86+3.97+4.73+3.3+3.05+3.26+3.14+4.5+4.42+3.97+7.92+4.2+5.09+3.12+3.64+4.11+5.78+6.77+3.94+3.7+6.56+6.74+4.07+4.25)/37</f>
        <v>4.47027027</v>
      </c>
      <c r="C5" s="32">
        <v>37.0</v>
      </c>
      <c r="E5" s="5" t="s">
        <v>8</v>
      </c>
      <c r="F5" s="31">
        <f>(5.86+4.7+4.76+5.27+4.33+4.31)/6</f>
        <v>4.871666667</v>
      </c>
      <c r="G5" s="32">
        <v>6.0</v>
      </c>
      <c r="I5" s="13" t="s">
        <v>12</v>
      </c>
      <c r="J5" s="8">
        <v>4.89</v>
      </c>
    </row>
    <row r="6">
      <c r="A6" s="5" t="s">
        <v>10</v>
      </c>
      <c r="B6" s="33">
        <f>(5.26+4)/2</f>
        <v>4.63</v>
      </c>
      <c r="C6" s="32">
        <v>2.0</v>
      </c>
      <c r="E6" s="5" t="s">
        <v>11</v>
      </c>
      <c r="F6" s="31">
        <f>(2.95+2.61+1.99+3.25+3.07+2.45+1.3+2.77+1.71+3.3+2.99+3.28+3.38+2.38+3.3+6.45)/16</f>
        <v>2.94875</v>
      </c>
      <c r="G6" s="32">
        <v>16.0</v>
      </c>
      <c r="I6" s="13" t="s">
        <v>16</v>
      </c>
      <c r="J6" s="8">
        <v>4.56</v>
      </c>
    </row>
    <row r="7">
      <c r="A7" s="5" t="s">
        <v>13</v>
      </c>
      <c r="B7" s="28" t="s">
        <v>14</v>
      </c>
      <c r="C7" s="23">
        <v>0.0</v>
      </c>
      <c r="E7" s="5" t="s">
        <v>15</v>
      </c>
      <c r="F7" s="28">
        <v>3.07</v>
      </c>
      <c r="G7" s="23">
        <v>1.0</v>
      </c>
      <c r="I7" s="13" t="s">
        <v>19</v>
      </c>
      <c r="J7" s="8">
        <v>5.26</v>
      </c>
    </row>
    <row r="8">
      <c r="A8" s="5" t="s">
        <v>17</v>
      </c>
      <c r="B8" s="24">
        <f>(2.99+4.9+4.68+3.1+5.45+0.7)/6</f>
        <v>3.636666667</v>
      </c>
      <c r="C8" s="23">
        <v>6.0</v>
      </c>
      <c r="E8" s="5" t="s">
        <v>18</v>
      </c>
      <c r="F8" s="24">
        <f>(7.4+4.37+5.15+6.22+6.35+5.52+4.33+7.05)/8</f>
        <v>5.79875</v>
      </c>
      <c r="G8" s="23">
        <v>8.0</v>
      </c>
      <c r="I8" s="13" t="s">
        <v>22</v>
      </c>
      <c r="J8" s="8">
        <v>4.88</v>
      </c>
    </row>
    <row r="9">
      <c r="A9" s="5" t="s">
        <v>20</v>
      </c>
      <c r="B9" s="33" t="s">
        <v>14</v>
      </c>
      <c r="C9" s="32">
        <v>0.0</v>
      </c>
      <c r="E9" s="5" t="s">
        <v>21</v>
      </c>
      <c r="F9" s="31">
        <f>(4.47+2.79+3.04+5.2)/4</f>
        <v>3.875</v>
      </c>
      <c r="G9" s="32">
        <v>4.0</v>
      </c>
      <c r="I9" s="13" t="s">
        <v>25</v>
      </c>
      <c r="J9" s="8">
        <v>4.64</v>
      </c>
    </row>
    <row r="10">
      <c r="A10" s="5" t="s">
        <v>23</v>
      </c>
      <c r="B10" s="33">
        <f>(3.74+2.25+0.76)/3</f>
        <v>2.25</v>
      </c>
      <c r="C10" s="32">
        <v>3.0</v>
      </c>
      <c r="E10" s="5" t="s">
        <v>24</v>
      </c>
      <c r="F10" s="31">
        <f>(2.23+2.8+3.6+4.35+2.06)/5</f>
        <v>3.008</v>
      </c>
      <c r="G10" s="32">
        <v>5.0</v>
      </c>
      <c r="I10" s="13" t="s">
        <v>28</v>
      </c>
      <c r="J10" s="8">
        <v>4.53</v>
      </c>
    </row>
    <row r="11">
      <c r="A11" s="5" t="s">
        <v>26</v>
      </c>
      <c r="B11" s="24">
        <f>(3.66+3.87+1.49)/3</f>
        <v>3.006666667</v>
      </c>
      <c r="C11" s="23">
        <v>3.0</v>
      </c>
      <c r="E11" s="5" t="s">
        <v>27</v>
      </c>
      <c r="F11" s="24">
        <f>(5.26+5.43+5.16+3.98+5.54+5.8+5.83+5.51)/8</f>
        <v>5.31375</v>
      </c>
      <c r="G11" s="23">
        <v>8.0</v>
      </c>
      <c r="I11" s="13" t="s">
        <v>31</v>
      </c>
      <c r="J11" s="8">
        <v>5.3</v>
      </c>
    </row>
    <row r="12">
      <c r="A12" s="5" t="s">
        <v>29</v>
      </c>
      <c r="B12" s="28" t="s">
        <v>14</v>
      </c>
      <c r="C12" s="23">
        <v>0.0</v>
      </c>
      <c r="E12" s="5" t="s">
        <v>30</v>
      </c>
      <c r="F12" s="28" t="s">
        <v>14</v>
      </c>
      <c r="G12" s="23">
        <v>0.0</v>
      </c>
      <c r="I12" s="13" t="s">
        <v>34</v>
      </c>
      <c r="J12" s="8">
        <v>4.8</v>
      </c>
    </row>
    <row r="13">
      <c r="A13" s="5" t="s">
        <v>32</v>
      </c>
      <c r="B13" s="33" t="s">
        <v>14</v>
      </c>
      <c r="C13" s="32">
        <v>0.0</v>
      </c>
      <c r="E13" s="5" t="s">
        <v>33</v>
      </c>
      <c r="F13" s="33" t="s">
        <v>14</v>
      </c>
      <c r="G13" s="32">
        <v>0.0</v>
      </c>
      <c r="I13" s="13" t="s">
        <v>37</v>
      </c>
      <c r="J13" s="8">
        <v>5.0</v>
      </c>
    </row>
    <row r="14">
      <c r="A14" s="5" t="s">
        <v>35</v>
      </c>
      <c r="B14" s="33">
        <v>3.77</v>
      </c>
      <c r="C14" s="32">
        <v>1.0</v>
      </c>
      <c r="E14" s="5" t="s">
        <v>36</v>
      </c>
      <c r="F14" s="31">
        <f>(4.96+4.49+4.39+4.55+5.56+4.85+6.05+5.3+4.23+6.16+5.25+4.27+5.72+5.07+4.76+5.68+5.31+4.86+4.94+4.9+4.85+4.9+5.11+5.35+4.23+4.93+4.42+4.05)/28</f>
        <v>4.969285714</v>
      </c>
      <c r="G14" s="32">
        <v>28.0</v>
      </c>
      <c r="I14" s="13" t="s">
        <v>40</v>
      </c>
      <c r="J14" s="8">
        <v>5.02</v>
      </c>
    </row>
    <row r="15">
      <c r="A15" s="5" t="s">
        <v>38</v>
      </c>
      <c r="B15" s="28">
        <f>(4.13+0)/2</f>
        <v>2.065</v>
      </c>
      <c r="C15" s="23">
        <v>2.0</v>
      </c>
      <c r="E15" s="5" t="s">
        <v>39</v>
      </c>
      <c r="F15" s="28" t="s">
        <v>14</v>
      </c>
      <c r="G15" s="23">
        <v>0.0</v>
      </c>
      <c r="I15" s="13" t="s">
        <v>43</v>
      </c>
      <c r="J15" s="8">
        <v>5.01</v>
      </c>
    </row>
    <row r="16">
      <c r="A16" s="5" t="s">
        <v>41</v>
      </c>
      <c r="B16" s="24">
        <f>(1.4+2.47)/22</f>
        <v>0.1759090909</v>
      </c>
      <c r="C16" s="23">
        <v>2.0</v>
      </c>
      <c r="E16" s="5" t="s">
        <v>42</v>
      </c>
      <c r="F16" s="28">
        <v>4.06</v>
      </c>
      <c r="G16" s="23">
        <v>1.0</v>
      </c>
      <c r="I16" s="13" t="s">
        <v>46</v>
      </c>
      <c r="J16" s="8">
        <v>4.29</v>
      </c>
    </row>
    <row r="17">
      <c r="A17" s="5" t="s">
        <v>44</v>
      </c>
      <c r="B17" s="33">
        <v>5.46</v>
      </c>
      <c r="C17" s="32">
        <v>1.0</v>
      </c>
      <c r="E17" s="5" t="s">
        <v>45</v>
      </c>
      <c r="F17" s="31">
        <f>(3.47+3.28+3.58+0.17+2.72+5.28+3.28+3.15+3.6+2.3+3.39)/11</f>
        <v>3.110909091</v>
      </c>
      <c r="G17" s="32">
        <v>11.0</v>
      </c>
      <c r="I17" s="13" t="s">
        <v>49</v>
      </c>
      <c r="J17" s="8">
        <v>4.25</v>
      </c>
    </row>
    <row r="18">
      <c r="A18" s="5" t="s">
        <v>47</v>
      </c>
      <c r="B18" s="33" t="s">
        <v>14</v>
      </c>
      <c r="C18" s="32">
        <v>0.0</v>
      </c>
      <c r="E18" s="5" t="s">
        <v>48</v>
      </c>
      <c r="F18" s="31">
        <f>(3.97+3.11+5.14+4.21+3.88+4.42+3.72+4.16+3.77+3.63+3.99+4.18+3.51+3.99+2.27+3.82+3.57+3.89+2.84+3.21+4.93+4.14+3.35+4.06+2.59)/25</f>
        <v>3.774</v>
      </c>
      <c r="G18" s="32">
        <v>25.0</v>
      </c>
      <c r="I18" s="13" t="s">
        <v>52</v>
      </c>
      <c r="J18" s="8">
        <v>4.31</v>
      </c>
    </row>
    <row r="19">
      <c r="A19" s="5" t="s">
        <v>50</v>
      </c>
      <c r="B19" s="28" t="s">
        <v>14</v>
      </c>
      <c r="C19" s="23">
        <v>0.0</v>
      </c>
      <c r="E19" s="5" t="s">
        <v>51</v>
      </c>
      <c r="F19" s="24">
        <f>(4.6+4.65+3.94+5.34)/4</f>
        <v>4.6325</v>
      </c>
      <c r="G19" s="23">
        <v>4.0</v>
      </c>
      <c r="I19" s="13" t="s">
        <v>55</v>
      </c>
      <c r="J19" s="8">
        <v>4.52</v>
      </c>
    </row>
    <row r="20">
      <c r="A20" s="5" t="s">
        <v>53</v>
      </c>
      <c r="B20" s="24">
        <f>(6.87+7.15+5.16+7+7.75+2.7)/6</f>
        <v>6.105</v>
      </c>
      <c r="C20" s="23">
        <v>6.0</v>
      </c>
      <c r="E20" s="5" t="s">
        <v>54</v>
      </c>
      <c r="F20" s="24">
        <f>(2.69+2.65+2.91+2.46)/4</f>
        <v>2.6775</v>
      </c>
      <c r="G20" s="23">
        <v>4.0</v>
      </c>
      <c r="I20" s="13" t="s">
        <v>58</v>
      </c>
      <c r="J20" s="8">
        <v>3.56</v>
      </c>
    </row>
    <row r="21" ht="15.75" customHeight="1">
      <c r="A21" s="5" t="s">
        <v>56</v>
      </c>
      <c r="B21" s="33" t="s">
        <v>14</v>
      </c>
      <c r="C21" s="32">
        <v>0.0</v>
      </c>
      <c r="E21" s="5" t="s">
        <v>57</v>
      </c>
      <c r="F21" s="31">
        <f>(3.39+4.89+3.39+4.34+4.25+4.79+3.48+5.29+4.5)/9</f>
        <v>4.257777778</v>
      </c>
      <c r="G21" s="32">
        <v>9.0</v>
      </c>
      <c r="I21" s="13" t="s">
        <v>61</v>
      </c>
      <c r="J21" s="8">
        <v>4.51</v>
      </c>
    </row>
    <row r="22" ht="15.75" customHeight="1">
      <c r="A22" s="5" t="s">
        <v>59</v>
      </c>
      <c r="B22" s="33" t="s">
        <v>14</v>
      </c>
      <c r="C22" s="32">
        <v>0.0</v>
      </c>
      <c r="E22" s="5" t="s">
        <v>60</v>
      </c>
      <c r="F22" s="33" t="s">
        <v>14</v>
      </c>
      <c r="G22" s="32">
        <v>0.0</v>
      </c>
      <c r="I22" s="13" t="s">
        <v>64</v>
      </c>
      <c r="J22" s="8">
        <v>5.57</v>
      </c>
    </row>
    <row r="23" ht="15.75" customHeight="1">
      <c r="A23" s="5" t="s">
        <v>62</v>
      </c>
      <c r="B23" s="28">
        <v>6.35</v>
      </c>
      <c r="C23" s="23">
        <v>1.0</v>
      </c>
      <c r="E23" s="5" t="s">
        <v>63</v>
      </c>
      <c r="F23" s="28" t="s">
        <v>14</v>
      </c>
      <c r="G23" s="23">
        <v>0.0</v>
      </c>
      <c r="I23" s="13" t="s">
        <v>67</v>
      </c>
      <c r="J23" s="8">
        <v>3.92</v>
      </c>
    </row>
    <row r="24" ht="15.75" customHeight="1">
      <c r="A24" s="5" t="s">
        <v>65</v>
      </c>
      <c r="B24" s="28" t="s">
        <v>14</v>
      </c>
      <c r="C24" s="23">
        <v>0.0</v>
      </c>
      <c r="E24" s="5" t="s">
        <v>66</v>
      </c>
      <c r="F24" s="28" t="s">
        <v>14</v>
      </c>
      <c r="G24" s="23">
        <v>0.0</v>
      </c>
      <c r="I24" s="13" t="s">
        <v>70</v>
      </c>
      <c r="J24" s="8">
        <v>4.71</v>
      </c>
    </row>
    <row r="25" ht="15.75" customHeight="1">
      <c r="A25" s="5" t="s">
        <v>68</v>
      </c>
      <c r="B25" s="31">
        <f>(5.18+5.06+4.63+4.02)/4</f>
        <v>4.7225</v>
      </c>
      <c r="C25" s="32">
        <v>4.0</v>
      </c>
      <c r="E25" s="5" t="s">
        <v>69</v>
      </c>
      <c r="F25" s="33">
        <f>(4.95+5.54)/2</f>
        <v>5.245</v>
      </c>
      <c r="G25" s="32">
        <v>2.0</v>
      </c>
      <c r="I25" s="13" t="s">
        <v>73</v>
      </c>
      <c r="J25" s="8">
        <v>5.48</v>
      </c>
    </row>
    <row r="26" ht="15.75" customHeight="1">
      <c r="A26" s="5" t="s">
        <v>71</v>
      </c>
      <c r="B26" s="33" t="s">
        <v>14</v>
      </c>
      <c r="C26" s="32">
        <v>0.0</v>
      </c>
      <c r="E26" s="5" t="s">
        <v>72</v>
      </c>
      <c r="F26" s="33">
        <v>2.97</v>
      </c>
      <c r="G26" s="32">
        <v>1.0</v>
      </c>
      <c r="I26" s="13" t="s">
        <v>76</v>
      </c>
      <c r="J26" s="8">
        <v>5.89</v>
      </c>
    </row>
    <row r="27" ht="15.75" customHeight="1">
      <c r="A27" s="5" t="s">
        <v>74</v>
      </c>
      <c r="B27" s="28">
        <v>5.14</v>
      </c>
      <c r="C27" s="23">
        <v>1.0</v>
      </c>
      <c r="E27" s="5" t="s">
        <v>75</v>
      </c>
      <c r="F27" s="24">
        <f>(3.53+0.84+3.4+4.04+3.96+2.96+4)/7</f>
        <v>3.247142857</v>
      </c>
      <c r="G27" s="23">
        <v>7.0</v>
      </c>
      <c r="I27" s="13" t="s">
        <v>79</v>
      </c>
      <c r="J27" s="8">
        <v>5.26</v>
      </c>
    </row>
    <row r="28" ht="15.75" customHeight="1">
      <c r="A28" s="5" t="s">
        <v>77</v>
      </c>
      <c r="B28" s="24">
        <f>(3.31+3.15+4.11+4.71+4.7+3.16+3.24)/7</f>
        <v>3.768571429</v>
      </c>
      <c r="C28" s="23">
        <v>7.0</v>
      </c>
      <c r="E28" s="5" t="s">
        <v>78</v>
      </c>
      <c r="F28" s="24">
        <f>(2.58+3.24+3.54+2.43+2.2+2.36+3.53+2.44+2.17+1.95+2.8+2.19+2.05+2.26+2.06+2.38+2.39+1.78)/18</f>
        <v>2.463888889</v>
      </c>
      <c r="G28" s="23">
        <v>18.0</v>
      </c>
      <c r="I28" s="13" t="s">
        <v>82</v>
      </c>
      <c r="J28" s="8">
        <v>3.92</v>
      </c>
    </row>
    <row r="29" ht="15.75" customHeight="1">
      <c r="A29" s="5" t="s">
        <v>80</v>
      </c>
      <c r="B29" s="31">
        <f>(3.71+0+4.42+3.37+3.75+4.48)/6</f>
        <v>3.288333333</v>
      </c>
      <c r="C29" s="32">
        <v>6.0</v>
      </c>
      <c r="E29" s="5" t="s">
        <v>81</v>
      </c>
      <c r="F29" s="33" t="s">
        <v>14</v>
      </c>
      <c r="G29" s="32">
        <v>0.0</v>
      </c>
      <c r="I29" s="13" t="s">
        <v>85</v>
      </c>
      <c r="J29" s="8">
        <v>5.59</v>
      </c>
    </row>
    <row r="30" ht="15.75" customHeight="1">
      <c r="A30" s="5" t="s">
        <v>83</v>
      </c>
      <c r="B30" s="31">
        <f>(4.68+6.61)/2</f>
        <v>5.645</v>
      </c>
      <c r="C30" s="32">
        <v>2.0</v>
      </c>
      <c r="E30" s="5" t="s">
        <v>84</v>
      </c>
      <c r="F30" s="31">
        <f>(3.65+3.24)/2</f>
        <v>3.445</v>
      </c>
      <c r="G30" s="32">
        <v>2.0</v>
      </c>
      <c r="I30" s="13" t="s">
        <v>88</v>
      </c>
      <c r="J30" s="8">
        <v>5.15</v>
      </c>
    </row>
    <row r="31" ht="15.75" customHeight="1">
      <c r="A31" s="5" t="s">
        <v>86</v>
      </c>
      <c r="B31" s="28">
        <f>(4.11+4.59)/2</f>
        <v>4.35</v>
      </c>
      <c r="C31" s="23">
        <v>2.0</v>
      </c>
      <c r="E31" s="5" t="s">
        <v>87</v>
      </c>
      <c r="F31" s="28">
        <v>3.66</v>
      </c>
      <c r="G31" s="23">
        <v>1.0</v>
      </c>
      <c r="I31" s="13" t="s">
        <v>90</v>
      </c>
      <c r="J31" s="8">
        <v>5.1</v>
      </c>
    </row>
    <row r="32" ht="15.75" customHeight="1">
      <c r="A32" s="5" t="s">
        <v>64</v>
      </c>
      <c r="B32" s="28">
        <v>4.66</v>
      </c>
      <c r="C32" s="23">
        <v>1.0</v>
      </c>
      <c r="E32" s="5" t="s">
        <v>89</v>
      </c>
      <c r="F32" s="24">
        <f>(3.15+2.36+4.33+2.57+4.11)/5</f>
        <v>3.304</v>
      </c>
      <c r="G32" s="23">
        <v>5.0</v>
      </c>
      <c r="I32" s="13" t="s">
        <v>93</v>
      </c>
      <c r="J32" s="8">
        <v>5.38</v>
      </c>
    </row>
    <row r="33" ht="15.75" customHeight="1">
      <c r="A33" s="5" t="s">
        <v>91</v>
      </c>
      <c r="B33" s="33" t="s">
        <v>14</v>
      </c>
      <c r="C33" s="32">
        <v>0.0</v>
      </c>
      <c r="E33" s="5" t="s">
        <v>92</v>
      </c>
      <c r="F33" s="31">
        <f>(5.42+4.84)/2</f>
        <v>5.13</v>
      </c>
      <c r="G33" s="32">
        <v>2.0</v>
      </c>
      <c r="I33" s="13" t="s">
        <v>96</v>
      </c>
      <c r="J33" s="8">
        <v>4.59</v>
      </c>
    </row>
    <row r="34" ht="15.75" customHeight="1">
      <c r="A34" s="5" t="s">
        <v>94</v>
      </c>
      <c r="B34" s="27">
        <v>4.56</v>
      </c>
      <c r="C34" s="26">
        <v>1.0</v>
      </c>
      <c r="E34" s="5" t="s">
        <v>95</v>
      </c>
      <c r="F34" s="33">
        <v>2.95</v>
      </c>
      <c r="G34" s="32">
        <v>1.0</v>
      </c>
      <c r="I34" s="13" t="s">
        <v>99</v>
      </c>
      <c r="J34" s="8">
        <v>5.16</v>
      </c>
    </row>
    <row r="35" ht="15.75" customHeight="1">
      <c r="A35" s="5" t="s">
        <v>97</v>
      </c>
      <c r="B35" s="28" t="s">
        <v>14</v>
      </c>
      <c r="C35" s="23">
        <v>0.0</v>
      </c>
      <c r="E35" s="5" t="s">
        <v>98</v>
      </c>
      <c r="F35" s="24">
        <f>(2.68+1.92)/2</f>
        <v>2.3</v>
      </c>
      <c r="G35" s="23">
        <v>2.0</v>
      </c>
      <c r="I35" s="13" t="s">
        <v>102</v>
      </c>
      <c r="J35" s="8">
        <v>5.01</v>
      </c>
    </row>
    <row r="36" ht="15.75" customHeight="1">
      <c r="A36" s="5" t="s">
        <v>100</v>
      </c>
      <c r="B36" s="28" t="s">
        <v>14</v>
      </c>
      <c r="C36" s="23">
        <v>0.0</v>
      </c>
      <c r="E36" s="5" t="s">
        <v>101</v>
      </c>
      <c r="F36" s="24">
        <f>(4.72+4.85+4.81+5.59)/4</f>
        <v>4.9925</v>
      </c>
      <c r="G36" s="23">
        <v>4.0</v>
      </c>
      <c r="I36" s="13" t="s">
        <v>104</v>
      </c>
      <c r="J36" s="8">
        <v>5.06</v>
      </c>
    </row>
    <row r="37" ht="15.75" customHeight="1">
      <c r="A37" s="5" t="s">
        <v>103</v>
      </c>
      <c r="B37" s="33" t="s">
        <v>14</v>
      </c>
      <c r="C37" s="32">
        <v>0.0</v>
      </c>
      <c r="I37" s="13" t="s">
        <v>105</v>
      </c>
      <c r="J37" s="8">
        <v>5.18</v>
      </c>
    </row>
    <row r="38" ht="15.75" customHeight="1">
      <c r="I38" s="13" t="s">
        <v>106</v>
      </c>
      <c r="J38" s="8">
        <v>4.9</v>
      </c>
    </row>
    <row r="39" ht="15.75" customHeight="1">
      <c r="I39" s="13" t="s">
        <v>107</v>
      </c>
      <c r="J39" s="8">
        <v>5.23</v>
      </c>
    </row>
    <row r="40" ht="15.75" customHeight="1">
      <c r="I40" s="13" t="s">
        <v>108</v>
      </c>
      <c r="J40" s="8">
        <v>4.74</v>
      </c>
    </row>
    <row r="41" ht="15.75" customHeight="1">
      <c r="I41" s="13" t="s">
        <v>109</v>
      </c>
      <c r="J41" s="8">
        <v>4.45</v>
      </c>
    </row>
    <row r="42" ht="15.75" customHeight="1">
      <c r="I42" s="13" t="s">
        <v>110</v>
      </c>
      <c r="J42" s="8">
        <v>4.64</v>
      </c>
    </row>
    <row r="43" ht="15.75" customHeight="1">
      <c r="I43" s="13" t="s">
        <v>111</v>
      </c>
      <c r="J43" s="8">
        <v>5.52</v>
      </c>
    </row>
    <row r="44" ht="15.75" customHeight="1">
      <c r="I44" s="13" t="s">
        <v>112</v>
      </c>
      <c r="J44" s="8">
        <v>5.12</v>
      </c>
    </row>
    <row r="45" ht="15.75" customHeight="1">
      <c r="I45" s="13" t="s">
        <v>113</v>
      </c>
      <c r="J45" s="8">
        <v>4.68</v>
      </c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H1"/>
    <mergeCell ref="A2:H2"/>
  </mergeCells>
  <printOptions/>
  <pageMargins bottom="0.75" footer="0.0" header="0.0" left="0.7" right="0.7" top="0.7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43"/>
    <col customWidth="1" min="2" max="2" width="17.0"/>
    <col customWidth="1" min="3" max="3" width="13.86"/>
    <col customWidth="1" min="4" max="4" width="8.71"/>
    <col customWidth="1" min="5" max="5" width="13.0"/>
    <col customWidth="1" min="6" max="6" width="17.29"/>
    <col customWidth="1" min="7" max="7" width="12.43"/>
    <col customWidth="1" min="8" max="8" width="17.0"/>
    <col customWidth="1" min="9" max="9" width="13.43"/>
    <col customWidth="1" min="10" max="26" width="8.71"/>
  </cols>
  <sheetData>
    <row r="1">
      <c r="A1" s="35" t="s">
        <v>0</v>
      </c>
    </row>
    <row r="2">
      <c r="A2" s="2" t="s">
        <v>119</v>
      </c>
    </row>
    <row r="3" ht="60.0" customHeight="1">
      <c r="B3" s="4" t="s">
        <v>2</v>
      </c>
      <c r="C3" s="1" t="s">
        <v>3</v>
      </c>
      <c r="F3" s="4" t="s">
        <v>2</v>
      </c>
      <c r="G3" s="1" t="s">
        <v>3</v>
      </c>
      <c r="I3" s="36" t="s">
        <v>120</v>
      </c>
      <c r="J3" s="37"/>
    </row>
    <row r="4">
      <c r="A4" s="5" t="s">
        <v>4</v>
      </c>
      <c r="B4" s="18">
        <v>4.44</v>
      </c>
      <c r="C4" s="7">
        <v>1.0</v>
      </c>
      <c r="E4" s="5" t="s">
        <v>5</v>
      </c>
      <c r="F4" s="8">
        <f>(8.48+4.86+6.09)/3</f>
        <v>6.476666667</v>
      </c>
      <c r="G4" s="7">
        <v>3.0</v>
      </c>
      <c r="I4" s="13" t="s">
        <v>9</v>
      </c>
      <c r="J4" s="8">
        <v>3.82</v>
      </c>
    </row>
    <row r="5">
      <c r="A5" s="5" t="s">
        <v>7</v>
      </c>
      <c r="B5" s="12">
        <f>(8.84+7.12+9.7+11.85+6.27+3.51+8.56+7.9+8.56+8.31+4.37+6.72+11.81+6.77+7.37+8.04+8.03+7.66+6.24+7.19+9.78+8.02+6.08+6.08+11.85+9.15+11.6+7.23+6.47+9.5+7.48+8.55+7.84+6.6+8.46+12.73+8.21+7.28+5.92+7.16+9.9+6.16+0.25)/42</f>
        <v>8.026666667</v>
      </c>
      <c r="C5" s="11">
        <v>42.0</v>
      </c>
      <c r="E5" s="5" t="s">
        <v>8</v>
      </c>
      <c r="F5" s="12">
        <f>(7.17+6.19+7.9+10.46+9.61+3.32)/6</f>
        <v>7.441666667</v>
      </c>
      <c r="G5" s="11">
        <v>6.0</v>
      </c>
      <c r="I5" s="13" t="s">
        <v>12</v>
      </c>
      <c r="J5" s="8">
        <v>3.92</v>
      </c>
    </row>
    <row r="6">
      <c r="A6" s="5" t="s">
        <v>10</v>
      </c>
      <c r="B6" s="12">
        <f>(8.28+8.22)/2</f>
        <v>8.25</v>
      </c>
      <c r="C6" s="11">
        <v>2.0</v>
      </c>
      <c r="E6" s="5" t="s">
        <v>11</v>
      </c>
      <c r="F6" s="12">
        <f>(4.24+3.37+3.99+4.26+5.61+3.77+2.73+4.02+3.62+5.57+5.18+4.52+4.66+5.25+5.85)/15</f>
        <v>4.442666667</v>
      </c>
      <c r="G6" s="11">
        <v>15.0</v>
      </c>
      <c r="I6" s="13" t="s">
        <v>16</v>
      </c>
      <c r="J6" s="8">
        <v>4.33</v>
      </c>
    </row>
    <row r="7">
      <c r="A7" s="5" t="s">
        <v>13</v>
      </c>
      <c r="B7" s="6" t="s">
        <v>14</v>
      </c>
      <c r="C7" s="7">
        <v>0.0</v>
      </c>
      <c r="E7" s="5" t="s">
        <v>15</v>
      </c>
      <c r="F7" s="14">
        <v>2.16</v>
      </c>
      <c r="G7" s="15">
        <v>1.0</v>
      </c>
      <c r="I7" s="13" t="s">
        <v>19</v>
      </c>
      <c r="J7" s="8">
        <v>4.6</v>
      </c>
    </row>
    <row r="8">
      <c r="A8" s="5" t="s">
        <v>17</v>
      </c>
      <c r="B8" s="8">
        <f>(6.29+5.75+3.63+3.08+6.89+6.65)/6</f>
        <v>5.381666667</v>
      </c>
      <c r="C8" s="7">
        <v>6.0</v>
      </c>
      <c r="E8" s="5" t="s">
        <v>18</v>
      </c>
      <c r="F8" s="8">
        <f>(6.88+7.33+6.85+5.29+6.15+5.56+5.86+6.33)/8</f>
        <v>6.28125</v>
      </c>
      <c r="G8" s="7">
        <v>8.0</v>
      </c>
      <c r="I8" s="13" t="s">
        <v>22</v>
      </c>
      <c r="J8" s="8">
        <v>3.89</v>
      </c>
    </row>
    <row r="9">
      <c r="A9" s="5" t="s">
        <v>20</v>
      </c>
      <c r="B9" s="17" t="s">
        <v>14</v>
      </c>
      <c r="C9" s="11">
        <v>0.0</v>
      </c>
      <c r="E9" s="5" t="s">
        <v>21</v>
      </c>
      <c r="F9" s="12">
        <f>(7.05+0.17+4.32+3.87)/4</f>
        <v>3.8525</v>
      </c>
      <c r="G9" s="11">
        <v>4.0</v>
      </c>
      <c r="I9" s="13" t="s">
        <v>25</v>
      </c>
      <c r="J9" s="8">
        <v>4.0</v>
      </c>
    </row>
    <row r="10">
      <c r="A10" s="5" t="s">
        <v>23</v>
      </c>
      <c r="B10" s="10">
        <f>(6.51+7.96+9.66+6.92+8.27)/5</f>
        <v>7.864</v>
      </c>
      <c r="C10" s="11">
        <v>5.0</v>
      </c>
      <c r="E10" s="5" t="s">
        <v>24</v>
      </c>
      <c r="F10" s="12">
        <f>(5.6+9.14+8.81+5.82)/4</f>
        <v>7.3425</v>
      </c>
      <c r="G10" s="11">
        <v>4.0</v>
      </c>
      <c r="I10" s="13" t="s">
        <v>28</v>
      </c>
      <c r="J10" s="8">
        <v>5.16</v>
      </c>
    </row>
    <row r="11">
      <c r="A11" s="5" t="s">
        <v>26</v>
      </c>
      <c r="B11" s="8">
        <f>(6.68+5.5+4.02)/3</f>
        <v>5.4</v>
      </c>
      <c r="C11" s="7">
        <v>3.0</v>
      </c>
      <c r="E11" s="5" t="s">
        <v>27</v>
      </c>
      <c r="F11" s="8">
        <f>(9.58+3.46+6.87+6.91+8.69+7.38+6.14+7.88+0)/9</f>
        <v>6.323333333</v>
      </c>
      <c r="G11" s="7">
        <v>9.0</v>
      </c>
      <c r="I11" s="13" t="s">
        <v>31</v>
      </c>
      <c r="J11" s="8">
        <v>5.81</v>
      </c>
    </row>
    <row r="12">
      <c r="A12" s="5" t="s">
        <v>29</v>
      </c>
      <c r="B12" s="6" t="s">
        <v>14</v>
      </c>
      <c r="C12" s="7">
        <v>0.0</v>
      </c>
      <c r="E12" s="5" t="s">
        <v>30</v>
      </c>
      <c r="F12" s="6" t="s">
        <v>14</v>
      </c>
      <c r="G12" s="7">
        <v>0.0</v>
      </c>
      <c r="I12" s="13" t="s">
        <v>34</v>
      </c>
      <c r="J12" s="8">
        <v>5.04</v>
      </c>
    </row>
    <row r="13">
      <c r="A13" s="5" t="s">
        <v>32</v>
      </c>
      <c r="B13" s="17" t="s">
        <v>14</v>
      </c>
      <c r="C13" s="11">
        <v>0.0</v>
      </c>
      <c r="E13" s="5" t="s">
        <v>33</v>
      </c>
      <c r="F13" s="17" t="s">
        <v>14</v>
      </c>
      <c r="G13" s="11">
        <v>0.0</v>
      </c>
      <c r="I13" s="13" t="s">
        <v>37</v>
      </c>
      <c r="J13" s="8">
        <v>2.62</v>
      </c>
    </row>
    <row r="14">
      <c r="A14" s="5" t="s">
        <v>35</v>
      </c>
      <c r="B14" s="19">
        <v>5.36</v>
      </c>
      <c r="C14" s="11">
        <v>1.0</v>
      </c>
      <c r="E14" s="5" t="s">
        <v>36</v>
      </c>
      <c r="F14" s="12">
        <f>(10.38+9.02+7.93+9.24+6.29+7.77+5.98+12.78+9.66+5.98+9.33+7.43+9.91+8.18+9.71+7.73+8.51+6.98+10.59+9.16+7.42+7.51+7.95+9.59+7.62+9.77+6.23+5.62+3.88)/29</f>
        <v>8.212068966</v>
      </c>
      <c r="G14" s="11">
        <v>29.0</v>
      </c>
      <c r="I14" s="13" t="s">
        <v>40</v>
      </c>
      <c r="J14" s="8">
        <v>4.23</v>
      </c>
    </row>
    <row r="15">
      <c r="A15" s="5" t="s">
        <v>38</v>
      </c>
      <c r="B15" s="6">
        <v>8.01</v>
      </c>
      <c r="C15" s="7">
        <v>1.0</v>
      </c>
      <c r="E15" s="5" t="s">
        <v>39</v>
      </c>
      <c r="F15" s="6" t="s">
        <v>14</v>
      </c>
      <c r="G15" s="7">
        <v>0.0</v>
      </c>
      <c r="I15" s="13" t="s">
        <v>43</v>
      </c>
      <c r="J15" s="8">
        <v>5.79</v>
      </c>
    </row>
    <row r="16">
      <c r="A16" s="5" t="s">
        <v>41</v>
      </c>
      <c r="B16" s="6">
        <f>(7.39+6.7)/2</f>
        <v>7.045</v>
      </c>
      <c r="C16" s="7">
        <v>2.0</v>
      </c>
      <c r="E16" s="5" t="s">
        <v>42</v>
      </c>
      <c r="F16" s="18">
        <v>2.51</v>
      </c>
      <c r="G16" s="7">
        <v>1.0</v>
      </c>
      <c r="I16" s="13" t="s">
        <v>46</v>
      </c>
      <c r="J16" s="8">
        <v>3.97</v>
      </c>
    </row>
    <row r="17">
      <c r="A17" s="5" t="s">
        <v>44</v>
      </c>
      <c r="B17" s="17">
        <v>5.81</v>
      </c>
      <c r="C17" s="11">
        <v>1.0</v>
      </c>
      <c r="E17" s="5" t="s">
        <v>45</v>
      </c>
      <c r="F17" s="12">
        <f>(8.51+6.4+7.9+6.28+5.15+6.14+4.83+7.9+4.92)/9</f>
        <v>6.447777778</v>
      </c>
      <c r="G17" s="11">
        <v>9.0</v>
      </c>
      <c r="I17" s="13" t="s">
        <v>49</v>
      </c>
      <c r="J17" s="8">
        <v>3.6</v>
      </c>
    </row>
    <row r="18">
      <c r="A18" s="5" t="s">
        <v>47</v>
      </c>
      <c r="B18" s="17" t="s">
        <v>14</v>
      </c>
      <c r="C18" s="11">
        <v>0.0</v>
      </c>
      <c r="E18" s="5" t="s">
        <v>48</v>
      </c>
      <c r="F18" s="12">
        <f>(9.68+8.42+9.25+15.33+6.21+11.65+10.48+9.77+11.72+6.98+11.21+8.86+8.64+8.46+9.09+9.1+10.38+7.53+11.92+8.66+7.64+7.1+9.58+6.21+8.64)/25</f>
        <v>9.3004</v>
      </c>
      <c r="G18" s="11">
        <v>25.0</v>
      </c>
      <c r="I18" s="13" t="s">
        <v>52</v>
      </c>
      <c r="J18" s="8">
        <v>4.41</v>
      </c>
    </row>
    <row r="19">
      <c r="A19" s="5" t="s">
        <v>50</v>
      </c>
      <c r="B19" s="6" t="s">
        <v>14</v>
      </c>
      <c r="C19" s="7">
        <v>0.0</v>
      </c>
      <c r="E19" s="5" t="s">
        <v>51</v>
      </c>
      <c r="F19" s="8">
        <f>(10.46+8.55+7.46+8.59)/4</f>
        <v>8.765</v>
      </c>
      <c r="G19" s="7">
        <v>4.0</v>
      </c>
      <c r="I19" s="13" t="s">
        <v>55</v>
      </c>
      <c r="J19" s="8">
        <v>4.42</v>
      </c>
    </row>
    <row r="20">
      <c r="A20" s="5" t="s">
        <v>53</v>
      </c>
      <c r="B20" s="8">
        <f>(6.47+4.69+4.18+3.58+6.22+1)/6</f>
        <v>4.356666667</v>
      </c>
      <c r="C20" s="7">
        <v>5.0</v>
      </c>
      <c r="E20" s="5" t="s">
        <v>54</v>
      </c>
      <c r="F20" s="8">
        <f>(8.91+8.01+9.56+9.1)/4</f>
        <v>8.895</v>
      </c>
      <c r="G20" s="7">
        <v>4.0</v>
      </c>
      <c r="I20" s="13" t="s">
        <v>58</v>
      </c>
      <c r="J20" s="8">
        <v>3.26</v>
      </c>
    </row>
    <row r="21" ht="15.75" customHeight="1">
      <c r="A21" s="5" t="s">
        <v>56</v>
      </c>
      <c r="B21" s="17" t="s">
        <v>14</v>
      </c>
      <c r="C21" s="11">
        <v>0.0</v>
      </c>
      <c r="E21" s="5" t="s">
        <v>57</v>
      </c>
      <c r="F21" s="12">
        <f>(6.5+5.66+5.53+6.88+7.06+7.79+6.09+5.58+5.05)/9</f>
        <v>6.237777778</v>
      </c>
      <c r="G21" s="11">
        <v>9.0</v>
      </c>
      <c r="I21" s="13" t="s">
        <v>61</v>
      </c>
      <c r="J21" s="8">
        <v>4.52</v>
      </c>
    </row>
    <row r="22" ht="15.75" customHeight="1">
      <c r="A22" s="5" t="s">
        <v>59</v>
      </c>
      <c r="B22" s="17" t="s">
        <v>14</v>
      </c>
      <c r="C22" s="11">
        <v>0.0</v>
      </c>
      <c r="E22" s="5" t="s">
        <v>60</v>
      </c>
      <c r="F22" s="17" t="s">
        <v>14</v>
      </c>
      <c r="G22" s="11">
        <v>0.0</v>
      </c>
      <c r="I22" s="13" t="s">
        <v>64</v>
      </c>
      <c r="J22" s="8">
        <v>4.53</v>
      </c>
    </row>
    <row r="23" ht="15.75" customHeight="1">
      <c r="A23" s="5" t="s">
        <v>62</v>
      </c>
      <c r="B23" s="6">
        <v>7.63</v>
      </c>
      <c r="C23" s="7">
        <v>1.0</v>
      </c>
      <c r="E23" s="5" t="s">
        <v>63</v>
      </c>
      <c r="F23" s="6" t="s">
        <v>14</v>
      </c>
      <c r="G23" s="7">
        <v>0.0</v>
      </c>
      <c r="I23" s="13" t="s">
        <v>67</v>
      </c>
      <c r="J23" s="8">
        <v>3.68</v>
      </c>
    </row>
    <row r="24" ht="15.75" customHeight="1">
      <c r="A24" s="5" t="s">
        <v>65</v>
      </c>
      <c r="B24" s="6" t="s">
        <v>14</v>
      </c>
      <c r="C24" s="7">
        <v>0.0</v>
      </c>
      <c r="E24" s="5" t="s">
        <v>66</v>
      </c>
      <c r="F24" s="6" t="s">
        <v>14</v>
      </c>
      <c r="G24" s="7">
        <v>0.0</v>
      </c>
      <c r="I24" s="13" t="s">
        <v>70</v>
      </c>
      <c r="J24" s="8">
        <v>3.94</v>
      </c>
    </row>
    <row r="25" ht="15.75" customHeight="1">
      <c r="A25" s="5" t="s">
        <v>68</v>
      </c>
      <c r="B25" s="12">
        <f>(4.97+5.48+4.47+5.95)/4</f>
        <v>5.2175</v>
      </c>
      <c r="C25" s="11">
        <v>4.0</v>
      </c>
      <c r="E25" s="5" t="s">
        <v>69</v>
      </c>
      <c r="F25" s="12">
        <f>(6.05+2.56)/2</f>
        <v>4.305</v>
      </c>
      <c r="G25" s="11">
        <v>2.0</v>
      </c>
      <c r="I25" s="13" t="s">
        <v>73</v>
      </c>
      <c r="J25" s="8">
        <v>6.22</v>
      </c>
    </row>
    <row r="26" ht="15.75" customHeight="1">
      <c r="A26" s="5" t="s">
        <v>71</v>
      </c>
      <c r="B26" s="17" t="s">
        <v>14</v>
      </c>
      <c r="C26" s="11">
        <v>0.0</v>
      </c>
      <c r="E26" s="5" t="s">
        <v>72</v>
      </c>
      <c r="F26" s="19">
        <v>6.95</v>
      </c>
      <c r="G26" s="11">
        <v>1.0</v>
      </c>
      <c r="I26" s="13" t="s">
        <v>76</v>
      </c>
      <c r="J26" s="8">
        <v>6.3</v>
      </c>
    </row>
    <row r="27" ht="15.75" customHeight="1">
      <c r="A27" s="5" t="s">
        <v>74</v>
      </c>
      <c r="B27" s="18">
        <v>7.4</v>
      </c>
      <c r="C27" s="7">
        <v>1.0</v>
      </c>
      <c r="E27" s="5" t="s">
        <v>75</v>
      </c>
      <c r="F27" s="8">
        <f>(4.34+7.91+6.71+7.56+5.96+5.39+5.95)/7</f>
        <v>6.26</v>
      </c>
      <c r="G27" s="7">
        <v>7.0</v>
      </c>
      <c r="I27" s="13" t="s">
        <v>79</v>
      </c>
      <c r="J27" s="8">
        <v>4.95</v>
      </c>
    </row>
    <row r="28" ht="15.75" customHeight="1">
      <c r="A28" s="5" t="s">
        <v>77</v>
      </c>
      <c r="B28" s="8">
        <f>(5.18+6.41+7.95+5.48+5.69+7.19+4.59)/7</f>
        <v>6.07</v>
      </c>
      <c r="C28" s="7">
        <v>7.0</v>
      </c>
      <c r="E28" s="5" t="s">
        <v>78</v>
      </c>
      <c r="F28" s="20">
        <f>(4.12+5.7+4.23+4.62+2.33+6.93+5.14+3.76+6.12+6.28+5.52+5.13+7.13+3.86+3.32+2.45+3.3+6.38)/18</f>
        <v>4.795555556</v>
      </c>
      <c r="G28" s="7">
        <v>18.0</v>
      </c>
      <c r="I28" s="13" t="s">
        <v>82</v>
      </c>
      <c r="J28" s="8">
        <v>3.63</v>
      </c>
    </row>
    <row r="29" ht="15.75" customHeight="1">
      <c r="A29" s="5" t="s">
        <v>80</v>
      </c>
      <c r="B29" s="12">
        <f>(7.38+7.38+8.47+6.78+3.36)/5</f>
        <v>6.674</v>
      </c>
      <c r="C29" s="11">
        <v>5.0</v>
      </c>
      <c r="E29" s="5" t="s">
        <v>81</v>
      </c>
      <c r="F29" s="17" t="s">
        <v>14</v>
      </c>
      <c r="G29" s="11">
        <v>0.0</v>
      </c>
      <c r="I29" s="13" t="s">
        <v>85</v>
      </c>
      <c r="J29" s="8">
        <v>5.35</v>
      </c>
    </row>
    <row r="30" ht="15.75" customHeight="1">
      <c r="A30" s="5" t="s">
        <v>83</v>
      </c>
      <c r="B30" s="12">
        <f>(9.49+10.08)/2</f>
        <v>9.785</v>
      </c>
      <c r="C30" s="11">
        <v>2.0</v>
      </c>
      <c r="E30" s="5" t="s">
        <v>84</v>
      </c>
      <c r="F30" s="12">
        <f>(3.94+4.78)/2</f>
        <v>4.36</v>
      </c>
      <c r="G30" s="11">
        <v>2.0</v>
      </c>
      <c r="I30" s="13" t="s">
        <v>88</v>
      </c>
      <c r="J30" s="8">
        <v>4.27</v>
      </c>
    </row>
    <row r="31" ht="15.75" customHeight="1">
      <c r="A31" s="5" t="s">
        <v>86</v>
      </c>
      <c r="B31" s="16">
        <f>(6.92+4.6)/2</f>
        <v>5.76</v>
      </c>
      <c r="C31" s="7">
        <v>2.0</v>
      </c>
      <c r="E31" s="5" t="s">
        <v>87</v>
      </c>
      <c r="F31" s="18">
        <v>3.39</v>
      </c>
      <c r="G31" s="7">
        <v>1.0</v>
      </c>
      <c r="I31" s="13" t="s">
        <v>90</v>
      </c>
      <c r="J31" s="8">
        <v>4.92</v>
      </c>
    </row>
    <row r="32" ht="15.75" customHeight="1">
      <c r="A32" s="5" t="s">
        <v>64</v>
      </c>
      <c r="B32" s="18">
        <v>3.77</v>
      </c>
      <c r="C32" s="7">
        <v>1.0</v>
      </c>
      <c r="E32" s="5" t="s">
        <v>89</v>
      </c>
      <c r="F32" s="8">
        <f>(6.63+4+4.73+2.24+3.07)/5</f>
        <v>4.134</v>
      </c>
      <c r="G32" s="7">
        <v>5.0</v>
      </c>
      <c r="I32" s="13" t="s">
        <v>93</v>
      </c>
      <c r="J32" s="8">
        <v>5.37</v>
      </c>
    </row>
    <row r="33" ht="15.75" customHeight="1">
      <c r="A33" s="5" t="s">
        <v>91</v>
      </c>
      <c r="B33" s="17" t="s">
        <v>14</v>
      </c>
      <c r="C33" s="11">
        <v>0.0</v>
      </c>
      <c r="E33" s="5" t="s">
        <v>92</v>
      </c>
      <c r="F33" s="10">
        <f>(4.03+4.36)/2</f>
        <v>4.195</v>
      </c>
      <c r="G33" s="11">
        <v>2.0</v>
      </c>
      <c r="I33" s="13" t="s">
        <v>96</v>
      </c>
      <c r="J33" s="8">
        <v>4.04</v>
      </c>
    </row>
    <row r="34" ht="15.75" customHeight="1">
      <c r="A34" s="5" t="s">
        <v>94</v>
      </c>
      <c r="B34" s="17">
        <v>9.9</v>
      </c>
      <c r="C34" s="11">
        <v>1.0</v>
      </c>
      <c r="E34" s="5" t="s">
        <v>95</v>
      </c>
      <c r="F34" s="19">
        <v>7.52</v>
      </c>
      <c r="G34" s="11">
        <v>1.0</v>
      </c>
      <c r="I34" s="13" t="s">
        <v>99</v>
      </c>
      <c r="J34" s="8">
        <v>5.65</v>
      </c>
    </row>
    <row r="35" ht="15.75" customHeight="1">
      <c r="A35" s="5" t="s">
        <v>97</v>
      </c>
      <c r="B35" s="6" t="s">
        <v>14</v>
      </c>
      <c r="C35" s="7">
        <v>0.0</v>
      </c>
      <c r="E35" s="5" t="s">
        <v>98</v>
      </c>
      <c r="F35" s="8">
        <f>(7.17+8.49)/2</f>
        <v>7.83</v>
      </c>
      <c r="G35" s="7">
        <v>2.0</v>
      </c>
      <c r="I35" s="13" t="s">
        <v>102</v>
      </c>
      <c r="J35" s="8">
        <v>4.73</v>
      </c>
    </row>
    <row r="36" ht="15.75" customHeight="1">
      <c r="A36" s="5" t="s">
        <v>100</v>
      </c>
      <c r="B36" s="6" t="s">
        <v>14</v>
      </c>
      <c r="C36" s="7">
        <v>0.0</v>
      </c>
      <c r="E36" s="5" t="s">
        <v>101</v>
      </c>
      <c r="F36" s="8">
        <f>(3.6+4.62+4.82+4.56)/4</f>
        <v>4.4</v>
      </c>
      <c r="G36" s="7">
        <v>4.0</v>
      </c>
      <c r="I36" s="13" t="s">
        <v>104</v>
      </c>
      <c r="J36" s="8">
        <v>3.67</v>
      </c>
    </row>
    <row r="37" ht="15.75" customHeight="1">
      <c r="A37" s="5" t="s">
        <v>103</v>
      </c>
      <c r="B37" s="17" t="s">
        <v>14</v>
      </c>
      <c r="C37" s="11">
        <v>0.0</v>
      </c>
      <c r="I37" s="13" t="s">
        <v>105</v>
      </c>
      <c r="J37" s="8">
        <v>3.95</v>
      </c>
    </row>
    <row r="38" ht="15.75" customHeight="1">
      <c r="I38" s="13" t="s">
        <v>106</v>
      </c>
      <c r="J38" s="8">
        <v>3.46</v>
      </c>
    </row>
    <row r="39" ht="15.75" customHeight="1">
      <c r="I39" s="13" t="s">
        <v>107</v>
      </c>
      <c r="J39" s="8">
        <v>4.19</v>
      </c>
    </row>
    <row r="40" ht="15.75" customHeight="1">
      <c r="I40" s="13" t="s">
        <v>108</v>
      </c>
      <c r="J40" s="8">
        <v>4.26</v>
      </c>
    </row>
    <row r="41" ht="15.75" customHeight="1">
      <c r="I41" s="13" t="s">
        <v>109</v>
      </c>
      <c r="J41" s="8">
        <v>4.08</v>
      </c>
    </row>
    <row r="42" ht="15.75" customHeight="1">
      <c r="I42" s="13" t="s">
        <v>110</v>
      </c>
      <c r="J42" s="8">
        <v>4.13</v>
      </c>
    </row>
    <row r="43" ht="15.75" customHeight="1">
      <c r="I43" s="13" t="s">
        <v>111</v>
      </c>
      <c r="J43" s="8">
        <v>5.58</v>
      </c>
    </row>
    <row r="44" ht="15.75" customHeight="1">
      <c r="I44" s="13" t="s">
        <v>112</v>
      </c>
      <c r="J44" s="8">
        <v>4.26</v>
      </c>
    </row>
    <row r="45" ht="15.75" customHeight="1">
      <c r="I45" s="13" t="s">
        <v>113</v>
      </c>
      <c r="J45" s="8">
        <v>3.37</v>
      </c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H1"/>
    <mergeCell ref="A2:H2"/>
    <mergeCell ref="I3:J3"/>
  </mergeCells>
  <printOptions/>
  <pageMargins bottom="0.75" footer="0.0" header="0.0" left="0.7" right="0.7" top="0.75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43"/>
    <col customWidth="1" min="2" max="2" width="17.0"/>
    <col customWidth="1" min="3" max="3" width="13.86"/>
    <col customWidth="1" min="4" max="4" width="8.71"/>
    <col customWidth="1" min="5" max="5" width="13.0"/>
    <col customWidth="1" min="6" max="6" width="17.29"/>
    <col customWidth="1" min="7" max="7" width="12.43"/>
    <col customWidth="1" min="8" max="8" width="17.0"/>
    <col customWidth="1" min="9" max="9" width="13.43"/>
    <col customWidth="1" min="10" max="26" width="8.71"/>
  </cols>
  <sheetData>
    <row r="1">
      <c r="A1" s="1" t="s">
        <v>0</v>
      </c>
    </row>
    <row r="2">
      <c r="A2" s="2" t="s">
        <v>121</v>
      </c>
    </row>
    <row r="3">
      <c r="B3" s="4" t="s">
        <v>2</v>
      </c>
      <c r="C3" s="1" t="s">
        <v>3</v>
      </c>
      <c r="F3" s="4" t="s">
        <v>2</v>
      </c>
      <c r="G3" s="1" t="s">
        <v>3</v>
      </c>
      <c r="I3" s="9" t="s">
        <v>122</v>
      </c>
    </row>
    <row r="4">
      <c r="A4" s="5" t="s">
        <v>4</v>
      </c>
      <c r="B4" s="38" t="s">
        <v>14</v>
      </c>
      <c r="C4" s="7">
        <v>0.0</v>
      </c>
      <c r="E4" s="5" t="s">
        <v>5</v>
      </c>
      <c r="F4" s="16">
        <f>(4.85+3.32+0.16)/3</f>
        <v>2.776666667</v>
      </c>
      <c r="G4" s="7">
        <v>3.0</v>
      </c>
      <c r="I4" s="13" t="s">
        <v>9</v>
      </c>
      <c r="J4" s="8">
        <v>5.2</v>
      </c>
    </row>
    <row r="5">
      <c r="A5" s="5" t="s">
        <v>7</v>
      </c>
      <c r="B5" s="10">
        <f>(11.9+7.63+9.01+12.65+6.25+7.99+7.56+8.38+9.57+13.98+4.8+5.52+13.47+16.77+8.21+3.98+3.24+4.16+6.22+3.39+8.47+8.08+5.09+15.13+6.85+14.67+7.98+12.58+6.2+9.23+10.08+8.21+5.21+11.06+8.19+6.62+10.53+4.22+13.47+11.87+9.53+8.32+5.67)/43</f>
        <v>8.649767442</v>
      </c>
      <c r="C5" s="11">
        <v>43.0</v>
      </c>
      <c r="E5" s="5" t="s">
        <v>8</v>
      </c>
      <c r="F5" s="10">
        <f>(1.72+1.98+2.74+1.7+3.99+0.86)/6</f>
        <v>2.165</v>
      </c>
      <c r="G5" s="11">
        <v>6.0</v>
      </c>
      <c r="I5" s="13" t="s">
        <v>12</v>
      </c>
      <c r="J5" s="8">
        <v>4.36</v>
      </c>
    </row>
    <row r="6">
      <c r="A6" s="5" t="s">
        <v>10</v>
      </c>
      <c r="B6" s="10">
        <f>(0+2.74)/2</f>
        <v>1.37</v>
      </c>
      <c r="C6" s="11">
        <v>2.0</v>
      </c>
      <c r="E6" s="5" t="s">
        <v>11</v>
      </c>
      <c r="F6" s="10">
        <f>(2.44+4.53+3.15+2.76+5.67+4.16+4.78+2.41+3.13+6.07+4.05+3.05+4.53+2.46+1.61)/15</f>
        <v>3.653333333</v>
      </c>
      <c r="G6" s="11">
        <v>15.0</v>
      </c>
      <c r="I6" s="13" t="s">
        <v>16</v>
      </c>
      <c r="J6" s="8">
        <v>4.45</v>
      </c>
    </row>
    <row r="7">
      <c r="A7" s="5" t="s">
        <v>13</v>
      </c>
      <c r="B7" s="38" t="s">
        <v>14</v>
      </c>
      <c r="C7" s="7">
        <v>0.0</v>
      </c>
      <c r="E7" s="5" t="s">
        <v>15</v>
      </c>
      <c r="F7" s="6">
        <v>2.21</v>
      </c>
      <c r="G7" s="7">
        <v>1.0</v>
      </c>
      <c r="I7" s="13" t="s">
        <v>19</v>
      </c>
      <c r="J7" s="8">
        <v>4.88</v>
      </c>
    </row>
    <row r="8">
      <c r="A8" s="5" t="s">
        <v>17</v>
      </c>
      <c r="B8" s="39">
        <f>(3.44+5.74+2.8+2.34+5.93+3.1)/6</f>
        <v>3.891666667</v>
      </c>
      <c r="C8" s="7">
        <v>6.0</v>
      </c>
      <c r="E8" s="5" t="s">
        <v>18</v>
      </c>
      <c r="F8" s="16">
        <f>(1.8+2.59+3.45+1.71+3.49+2.53+3.12+2.45)/8</f>
        <v>2.6425</v>
      </c>
      <c r="G8" s="7">
        <v>8.0</v>
      </c>
      <c r="I8" s="13" t="s">
        <v>22</v>
      </c>
      <c r="J8" s="8">
        <v>5.3</v>
      </c>
    </row>
    <row r="9">
      <c r="A9" s="5" t="s">
        <v>20</v>
      </c>
      <c r="B9" s="17" t="s">
        <v>14</v>
      </c>
      <c r="C9" s="11">
        <v>0.0</v>
      </c>
      <c r="E9" s="5" t="s">
        <v>21</v>
      </c>
      <c r="F9" s="10">
        <f>(2.39+1.74+4.09+2.84)/4</f>
        <v>2.765</v>
      </c>
      <c r="G9" s="11">
        <v>4.0</v>
      </c>
      <c r="I9" s="13" t="s">
        <v>25</v>
      </c>
      <c r="J9" s="8">
        <v>4.35</v>
      </c>
    </row>
    <row r="10">
      <c r="A10" s="5" t="s">
        <v>23</v>
      </c>
      <c r="B10" s="17">
        <f>(3.18+2.88+2.72+6.57+4.7)/5</f>
        <v>4.01</v>
      </c>
      <c r="C10" s="11">
        <v>5.0</v>
      </c>
      <c r="E10" s="5" t="s">
        <v>24</v>
      </c>
      <c r="F10" s="10">
        <f>(2.23+3.51+2.13+1.28)/4</f>
        <v>2.2875</v>
      </c>
      <c r="G10" s="11">
        <v>4.0</v>
      </c>
      <c r="I10" s="13" t="s">
        <v>28</v>
      </c>
      <c r="J10" s="8">
        <v>4.69</v>
      </c>
    </row>
    <row r="11">
      <c r="A11" s="5" t="s">
        <v>26</v>
      </c>
      <c r="B11" s="39">
        <f>(4.47+2.68+3.18)/3</f>
        <v>3.443333333</v>
      </c>
      <c r="C11" s="7">
        <v>3.0</v>
      </c>
      <c r="E11" s="5" t="s">
        <v>27</v>
      </c>
      <c r="F11" s="16">
        <f>(2.63+4.82+2.1+2.27+2.42+1.92+2.42+1.41)/8</f>
        <v>2.49875</v>
      </c>
      <c r="G11" s="7">
        <v>8.0</v>
      </c>
      <c r="I11" s="13" t="s">
        <v>31</v>
      </c>
      <c r="J11" s="8">
        <v>6.46</v>
      </c>
    </row>
    <row r="12">
      <c r="A12" s="5" t="s">
        <v>29</v>
      </c>
      <c r="B12" s="38" t="s">
        <v>14</v>
      </c>
      <c r="C12" s="7">
        <v>0.0</v>
      </c>
      <c r="E12" s="5" t="s">
        <v>30</v>
      </c>
      <c r="F12" s="6" t="s">
        <v>14</v>
      </c>
      <c r="G12" s="7">
        <v>0.0</v>
      </c>
      <c r="I12" s="13" t="s">
        <v>34</v>
      </c>
      <c r="J12" s="8">
        <v>4.51</v>
      </c>
    </row>
    <row r="13">
      <c r="A13" s="5" t="s">
        <v>32</v>
      </c>
      <c r="B13" s="17" t="s">
        <v>14</v>
      </c>
      <c r="C13" s="11">
        <v>0.0</v>
      </c>
      <c r="E13" s="5" t="s">
        <v>33</v>
      </c>
      <c r="F13" s="17" t="s">
        <v>14</v>
      </c>
      <c r="G13" s="11">
        <v>0.0</v>
      </c>
      <c r="I13" s="13" t="s">
        <v>37</v>
      </c>
      <c r="J13" s="8">
        <v>3.39</v>
      </c>
    </row>
    <row r="14">
      <c r="A14" s="5" t="s">
        <v>35</v>
      </c>
      <c r="B14" s="17">
        <v>2.52</v>
      </c>
      <c r="C14" s="11">
        <v>1.0</v>
      </c>
      <c r="E14" s="5" t="s">
        <v>36</v>
      </c>
      <c r="F14" s="10">
        <f>(3.13+2.99+4.65+2.98+3.44+3.75+3.4+2.25+1.7+3.45+2.67+2.22+3.43+1.69+2.35+2.36+3.13+3+2.71+4.96+3.23+2.97+2.45+3.48+2.58+2.12+2.6+1.56+3.17+1.21)/30</f>
        <v>2.854333333</v>
      </c>
      <c r="G14" s="11">
        <v>30.0</v>
      </c>
      <c r="I14" s="13" t="s">
        <v>40</v>
      </c>
      <c r="J14" s="8">
        <v>4.28</v>
      </c>
    </row>
    <row r="15">
      <c r="A15" s="5" t="s">
        <v>38</v>
      </c>
      <c r="B15" s="38">
        <v>2.42</v>
      </c>
      <c r="C15" s="7">
        <v>1.0</v>
      </c>
      <c r="E15" s="5" t="s">
        <v>39</v>
      </c>
      <c r="F15" s="6" t="s">
        <v>14</v>
      </c>
      <c r="G15" s="7">
        <v>0.0</v>
      </c>
      <c r="I15" s="13" t="s">
        <v>43</v>
      </c>
      <c r="J15" s="8">
        <v>4.71</v>
      </c>
    </row>
    <row r="16">
      <c r="A16" s="5" t="s">
        <v>41</v>
      </c>
      <c r="B16" s="39">
        <f>(3.52+3.72)/2</f>
        <v>3.62</v>
      </c>
      <c r="C16" s="7">
        <v>2.0</v>
      </c>
      <c r="E16" s="5" t="s">
        <v>42</v>
      </c>
      <c r="F16" s="6">
        <v>4.93</v>
      </c>
      <c r="G16" s="7">
        <v>1.0</v>
      </c>
      <c r="I16" s="13" t="s">
        <v>46</v>
      </c>
      <c r="J16" s="8">
        <v>4.1</v>
      </c>
    </row>
    <row r="17">
      <c r="A17" s="5" t="s">
        <v>44</v>
      </c>
      <c r="B17" s="17">
        <v>2.49</v>
      </c>
      <c r="C17" s="11">
        <v>1.0</v>
      </c>
      <c r="E17" s="5" t="s">
        <v>45</v>
      </c>
      <c r="F17" s="10">
        <f>(1.8+1.21+2.52+1.69+1.82+3.04+1.58+4.15+2.39+0.21)/10</f>
        <v>2.041</v>
      </c>
      <c r="G17" s="11">
        <v>10.0</v>
      </c>
      <c r="I17" s="13" t="s">
        <v>49</v>
      </c>
      <c r="J17" s="8">
        <v>5.08</v>
      </c>
    </row>
    <row r="18">
      <c r="A18" s="5" t="s">
        <v>47</v>
      </c>
      <c r="B18" s="17" t="s">
        <v>14</v>
      </c>
      <c r="C18" s="11">
        <v>0.0</v>
      </c>
      <c r="E18" s="5" t="s">
        <v>48</v>
      </c>
      <c r="F18" s="10">
        <f>(5.55+9.86+9.46+14.44+7.08+5.49+8.13+6.83+12.55+8.99+12.72+8.93+5.59+13.22+8.2+5.91+7.04+7.07+11.81+6.14+8.37+5.02+4.2+5.09+2.97+0.54)/26</f>
        <v>7.738461538</v>
      </c>
      <c r="G18" s="11">
        <v>26.0</v>
      </c>
      <c r="I18" s="13" t="s">
        <v>52</v>
      </c>
      <c r="J18" s="8">
        <v>5.14</v>
      </c>
    </row>
    <row r="19">
      <c r="A19" s="5" t="s">
        <v>50</v>
      </c>
      <c r="B19" s="38" t="s">
        <v>14</v>
      </c>
      <c r="C19" s="7">
        <v>0.0</v>
      </c>
      <c r="E19" s="5" t="s">
        <v>51</v>
      </c>
      <c r="F19" s="16">
        <f>(2.27+1.6+4.67+5.76)/4</f>
        <v>3.575</v>
      </c>
      <c r="G19" s="7">
        <v>4.0</v>
      </c>
      <c r="I19" s="13" t="s">
        <v>55</v>
      </c>
      <c r="J19" s="8">
        <v>5.7</v>
      </c>
    </row>
    <row r="20">
      <c r="A20" s="5" t="s">
        <v>53</v>
      </c>
      <c r="B20" s="39">
        <f>(3.17+2.22+3.07+2.75)/4</f>
        <v>2.8025</v>
      </c>
      <c r="C20" s="7">
        <v>4.0</v>
      </c>
      <c r="E20" s="5" t="s">
        <v>54</v>
      </c>
      <c r="F20" s="16">
        <f>(2.21+5.73+4.65+5.98)/4</f>
        <v>4.6425</v>
      </c>
      <c r="G20" s="7">
        <v>4.0</v>
      </c>
      <c r="I20" s="13" t="s">
        <v>58</v>
      </c>
      <c r="J20" s="8">
        <v>4.6</v>
      </c>
    </row>
    <row r="21" ht="15.75" customHeight="1">
      <c r="A21" s="5" t="s">
        <v>56</v>
      </c>
      <c r="B21" s="17" t="s">
        <v>14</v>
      </c>
      <c r="C21" s="11">
        <v>0.0</v>
      </c>
      <c r="E21" s="5" t="s">
        <v>57</v>
      </c>
      <c r="F21" s="10">
        <f>(2.61+3.17+3.87+2.68+1.77+3.15+2.45+2.29+2.59+4.08)/10</f>
        <v>2.866</v>
      </c>
      <c r="G21" s="11">
        <v>10.0</v>
      </c>
      <c r="I21" s="13" t="s">
        <v>61</v>
      </c>
      <c r="J21" s="8">
        <v>5.52</v>
      </c>
    </row>
    <row r="22" ht="15.75" customHeight="1">
      <c r="A22" s="5" t="s">
        <v>59</v>
      </c>
      <c r="B22" s="17" t="s">
        <v>14</v>
      </c>
      <c r="C22" s="11">
        <v>0.0</v>
      </c>
      <c r="E22" s="5" t="s">
        <v>60</v>
      </c>
      <c r="F22" s="17" t="s">
        <v>14</v>
      </c>
      <c r="G22" s="11">
        <v>0.0</v>
      </c>
      <c r="I22" s="13" t="s">
        <v>64</v>
      </c>
      <c r="J22" s="8">
        <v>4.92</v>
      </c>
    </row>
    <row r="23" ht="15.75" customHeight="1">
      <c r="A23" s="5" t="s">
        <v>62</v>
      </c>
      <c r="B23" s="38">
        <v>3.99</v>
      </c>
      <c r="C23" s="7">
        <v>1.0</v>
      </c>
      <c r="E23" s="5" t="s">
        <v>63</v>
      </c>
      <c r="F23" s="6" t="s">
        <v>14</v>
      </c>
      <c r="G23" s="7">
        <v>0.0</v>
      </c>
      <c r="I23" s="13" t="s">
        <v>67</v>
      </c>
      <c r="J23" s="8">
        <v>5.79</v>
      </c>
    </row>
    <row r="24" ht="15.75" customHeight="1">
      <c r="A24" s="5" t="s">
        <v>65</v>
      </c>
      <c r="B24" s="38" t="s">
        <v>14</v>
      </c>
      <c r="C24" s="7">
        <v>0.0</v>
      </c>
      <c r="E24" s="5" t="s">
        <v>66</v>
      </c>
      <c r="F24" s="6" t="s">
        <v>14</v>
      </c>
      <c r="G24" s="7">
        <v>0.0</v>
      </c>
      <c r="I24" s="13" t="s">
        <v>70</v>
      </c>
      <c r="J24" s="8">
        <v>5.0</v>
      </c>
    </row>
    <row r="25" ht="15.75" customHeight="1">
      <c r="A25" s="5" t="s">
        <v>68</v>
      </c>
      <c r="B25" s="10">
        <f>(2.11+2.71+1.52+1.15)/4</f>
        <v>1.8725</v>
      </c>
      <c r="C25" s="11">
        <v>4.0</v>
      </c>
      <c r="E25" s="5" t="s">
        <v>69</v>
      </c>
      <c r="F25" s="10">
        <f>(1.68+1.62)/2</f>
        <v>1.65</v>
      </c>
      <c r="G25" s="11">
        <v>2.0</v>
      </c>
      <c r="I25" s="13" t="s">
        <v>73</v>
      </c>
      <c r="J25" s="8">
        <v>4.83</v>
      </c>
    </row>
    <row r="26" ht="15.75" customHeight="1">
      <c r="A26" s="5" t="s">
        <v>71</v>
      </c>
      <c r="B26" s="17" t="s">
        <v>14</v>
      </c>
      <c r="C26" s="11">
        <v>0.0</v>
      </c>
      <c r="E26" s="5" t="s">
        <v>72</v>
      </c>
      <c r="F26" s="17">
        <v>1.24</v>
      </c>
      <c r="G26" s="11">
        <v>1.0</v>
      </c>
      <c r="I26" s="13" t="s">
        <v>76</v>
      </c>
      <c r="J26" s="8">
        <v>4.95</v>
      </c>
    </row>
    <row r="27" ht="15.75" customHeight="1">
      <c r="A27" s="5" t="s">
        <v>74</v>
      </c>
      <c r="B27" s="38" t="s">
        <v>14</v>
      </c>
      <c r="C27" s="7">
        <v>0.0</v>
      </c>
      <c r="E27" s="5" t="s">
        <v>75</v>
      </c>
      <c r="F27" s="16">
        <f>(2.32+2.7+1.95+1.99+1.81+2.37+2.32)/7</f>
        <v>2.208571429</v>
      </c>
      <c r="G27" s="7">
        <v>7.0</v>
      </c>
      <c r="I27" s="13" t="s">
        <v>79</v>
      </c>
      <c r="J27" s="8">
        <v>4.31</v>
      </c>
    </row>
    <row r="28" ht="15.75" customHeight="1">
      <c r="A28" s="5" t="s">
        <v>77</v>
      </c>
      <c r="B28" s="39">
        <f>(2.02+3.04+2.04+3+2.03+1.56)/6</f>
        <v>2.281666667</v>
      </c>
      <c r="C28" s="7">
        <v>6.0</v>
      </c>
      <c r="E28" s="5" t="s">
        <v>78</v>
      </c>
      <c r="F28" s="16">
        <f>(3.05+2.25+3.27+0.73+2.1+2.33+2.94+3.27+2.65+5.14+2.39+2.71+5.43+1.46+1.62+5.41+3.11+4.58)/18</f>
        <v>3.024444444</v>
      </c>
      <c r="G28" s="7">
        <v>18.0</v>
      </c>
      <c r="I28" s="13" t="s">
        <v>82</v>
      </c>
      <c r="J28" s="8">
        <v>3.49</v>
      </c>
    </row>
    <row r="29" ht="15.75" customHeight="1">
      <c r="A29" s="5" t="s">
        <v>80</v>
      </c>
      <c r="B29" s="10">
        <f>(2.49+5.03+2.12+0.03+2.51)/5</f>
        <v>2.436</v>
      </c>
      <c r="C29" s="11">
        <v>5.0</v>
      </c>
      <c r="E29" s="5" t="s">
        <v>81</v>
      </c>
      <c r="F29" s="17" t="s">
        <v>14</v>
      </c>
      <c r="G29" s="11">
        <v>0.0</v>
      </c>
      <c r="I29" s="13" t="s">
        <v>85</v>
      </c>
      <c r="J29" s="8">
        <v>4.87</v>
      </c>
    </row>
    <row r="30" ht="15.75" customHeight="1">
      <c r="A30" s="5" t="s">
        <v>83</v>
      </c>
      <c r="B30" s="10">
        <f>(5.99+7.6)/2</f>
        <v>6.795</v>
      </c>
      <c r="C30" s="11">
        <v>2.0</v>
      </c>
      <c r="E30" s="5" t="s">
        <v>84</v>
      </c>
      <c r="F30" s="10">
        <f>(3.76+3.19)/2</f>
        <v>3.475</v>
      </c>
      <c r="G30" s="11">
        <v>2.0</v>
      </c>
      <c r="I30" s="13" t="s">
        <v>88</v>
      </c>
      <c r="J30" s="8">
        <v>4.18</v>
      </c>
    </row>
    <row r="31" ht="15.75" customHeight="1">
      <c r="A31" s="5" t="s">
        <v>86</v>
      </c>
      <c r="B31" s="39">
        <f>(2.19+5.58)/2</f>
        <v>3.885</v>
      </c>
      <c r="C31" s="7">
        <v>2.0</v>
      </c>
      <c r="E31" s="5" t="s">
        <v>87</v>
      </c>
      <c r="F31" s="6">
        <v>3.18</v>
      </c>
      <c r="G31" s="7">
        <v>1.0</v>
      </c>
      <c r="I31" s="13" t="s">
        <v>90</v>
      </c>
      <c r="J31" s="8">
        <v>4.48</v>
      </c>
    </row>
    <row r="32" ht="15.75" customHeight="1">
      <c r="A32" s="5" t="s">
        <v>64</v>
      </c>
      <c r="B32" s="38">
        <v>2.37</v>
      </c>
      <c r="C32" s="7">
        <v>1.0</v>
      </c>
      <c r="E32" s="5" t="s">
        <v>89</v>
      </c>
      <c r="F32" s="16">
        <f>(5.66+4.15+2.98+3.44+4.84+0.09)/6</f>
        <v>3.526666667</v>
      </c>
      <c r="G32" s="7">
        <v>6.0</v>
      </c>
      <c r="I32" s="13" t="s">
        <v>93</v>
      </c>
      <c r="J32" s="8">
        <v>1.73</v>
      </c>
    </row>
    <row r="33" ht="15.75" customHeight="1">
      <c r="A33" s="5" t="s">
        <v>91</v>
      </c>
      <c r="B33" s="17" t="s">
        <v>14</v>
      </c>
      <c r="C33" s="11">
        <v>0.0</v>
      </c>
      <c r="E33" s="5" t="s">
        <v>92</v>
      </c>
      <c r="F33" s="10">
        <f>(2.51+3.52)/2</f>
        <v>3.015</v>
      </c>
      <c r="G33" s="11">
        <v>2.0</v>
      </c>
      <c r="I33" s="13" t="s">
        <v>96</v>
      </c>
      <c r="J33" s="8">
        <v>4.34</v>
      </c>
    </row>
    <row r="34" ht="15.75" customHeight="1">
      <c r="A34" s="5" t="s">
        <v>94</v>
      </c>
      <c r="B34" s="17">
        <v>6.95</v>
      </c>
      <c r="C34" s="11">
        <v>1.0</v>
      </c>
      <c r="E34" s="5" t="s">
        <v>95</v>
      </c>
      <c r="F34" s="17">
        <v>3.69</v>
      </c>
      <c r="G34" s="11">
        <v>1.0</v>
      </c>
      <c r="I34" s="13" t="s">
        <v>99</v>
      </c>
      <c r="J34" s="8">
        <v>4.4</v>
      </c>
    </row>
    <row r="35" ht="15.75" customHeight="1">
      <c r="A35" s="5" t="s">
        <v>97</v>
      </c>
      <c r="B35" s="38" t="s">
        <v>14</v>
      </c>
      <c r="C35" s="7">
        <v>0.0</v>
      </c>
      <c r="E35" s="5" t="s">
        <v>98</v>
      </c>
      <c r="F35" s="16">
        <f>(7.69+1.99)/2</f>
        <v>4.84</v>
      </c>
      <c r="G35" s="7">
        <v>2.0</v>
      </c>
      <c r="I35" s="13" t="s">
        <v>102</v>
      </c>
      <c r="J35" s="8">
        <v>4.67</v>
      </c>
    </row>
    <row r="36" ht="15.75" customHeight="1">
      <c r="A36" s="5" t="s">
        <v>100</v>
      </c>
      <c r="B36" s="38" t="s">
        <v>14</v>
      </c>
      <c r="C36" s="7">
        <v>0.0</v>
      </c>
      <c r="E36" s="5" t="s">
        <v>101</v>
      </c>
      <c r="F36" s="16">
        <f>(3.2+2.56+2.6+4.19)/4</f>
        <v>3.1375</v>
      </c>
      <c r="G36" s="7">
        <v>4.0</v>
      </c>
      <c r="I36" s="13" t="s">
        <v>104</v>
      </c>
      <c r="J36" s="8">
        <v>4.08</v>
      </c>
    </row>
    <row r="37" ht="15.75" customHeight="1">
      <c r="A37" s="5" t="s">
        <v>103</v>
      </c>
      <c r="B37" s="17" t="s">
        <v>14</v>
      </c>
      <c r="C37" s="11">
        <v>0.0</v>
      </c>
      <c r="I37" s="13" t="s">
        <v>105</v>
      </c>
      <c r="J37" s="8">
        <v>3.95</v>
      </c>
    </row>
    <row r="38" ht="15.75" customHeight="1">
      <c r="I38" s="13" t="s">
        <v>106</v>
      </c>
      <c r="J38" s="8">
        <v>5.46</v>
      </c>
    </row>
    <row r="39" ht="15.75" customHeight="1">
      <c r="I39" s="13" t="s">
        <v>107</v>
      </c>
      <c r="J39" s="8">
        <v>3.82</v>
      </c>
    </row>
    <row r="40" ht="15.75" customHeight="1">
      <c r="I40" s="13" t="s">
        <v>108</v>
      </c>
      <c r="J40" s="8">
        <v>4.25</v>
      </c>
    </row>
    <row r="41" ht="15.75" customHeight="1">
      <c r="I41" s="13" t="s">
        <v>109</v>
      </c>
      <c r="J41" s="8">
        <v>5.22</v>
      </c>
    </row>
    <row r="42" ht="15.75" customHeight="1">
      <c r="I42" s="13" t="s">
        <v>110</v>
      </c>
      <c r="J42" s="8">
        <v>3.81</v>
      </c>
    </row>
    <row r="43" ht="15.75" customHeight="1">
      <c r="I43" s="13" t="s">
        <v>111</v>
      </c>
      <c r="J43" s="8">
        <v>4.53</v>
      </c>
    </row>
    <row r="44" ht="15.75" customHeight="1">
      <c r="I44" s="13" t="s">
        <v>112</v>
      </c>
      <c r="J44" s="8">
        <v>4.07</v>
      </c>
    </row>
    <row r="45" ht="15.75" customHeight="1">
      <c r="I45" s="13" t="s">
        <v>113</v>
      </c>
      <c r="J45" s="8">
        <v>4.22</v>
      </c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H1"/>
    <mergeCell ref="A2:H2"/>
  </mergeCells>
  <printOptions/>
  <pageMargins bottom="0.75" footer="0.0" header="0.0" left="0.7" right="0.7" top="0.75"/>
  <pageSetup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43"/>
    <col customWidth="1" min="2" max="2" width="17.0"/>
    <col customWidth="1" min="3" max="3" width="13.86"/>
    <col customWidth="1" min="4" max="4" width="8.71"/>
    <col customWidth="1" min="5" max="5" width="13.0"/>
    <col customWidth="1" min="6" max="6" width="17.29"/>
    <col customWidth="1" min="7" max="7" width="12.43"/>
    <col customWidth="1" min="8" max="8" width="17.0"/>
    <col customWidth="1" min="9" max="9" width="13.43"/>
    <col customWidth="1" min="10" max="26" width="8.71"/>
  </cols>
  <sheetData>
    <row r="1">
      <c r="A1" s="1" t="s">
        <v>0</v>
      </c>
    </row>
    <row r="2">
      <c r="A2" s="2" t="s">
        <v>123</v>
      </c>
    </row>
    <row r="3">
      <c r="B3" s="4" t="s">
        <v>2</v>
      </c>
      <c r="C3" s="1" t="s">
        <v>3</v>
      </c>
      <c r="F3" s="4" t="s">
        <v>2</v>
      </c>
      <c r="G3" s="1" t="s">
        <v>3</v>
      </c>
      <c r="I3" s="9" t="s">
        <v>124</v>
      </c>
    </row>
    <row r="4">
      <c r="A4" s="5" t="s">
        <v>4</v>
      </c>
      <c r="B4" s="38">
        <v>9.18</v>
      </c>
      <c r="C4" s="40">
        <v>1.0</v>
      </c>
      <c r="E4" s="5" t="s">
        <v>5</v>
      </c>
      <c r="F4" s="16">
        <f>(5.22+6.7+0.53+1.96)/4</f>
        <v>3.6025</v>
      </c>
      <c r="G4" s="40">
        <v>4.0</v>
      </c>
      <c r="I4" s="13" t="s">
        <v>9</v>
      </c>
      <c r="J4" s="8">
        <v>5.94</v>
      </c>
    </row>
    <row r="5">
      <c r="A5" s="5" t="s">
        <v>7</v>
      </c>
      <c r="B5" s="10">
        <f>(6.73+9.11+6.22+6.48+6.86+5.94+3.15+10.08+5.02+5.66+8.67+7.77+5.58+7.32+7.26+6.4+0.8+5.56+6.3+4.6+8.4+7.71+8.44+10.32+9.61+5.81+7+12+6.7+6.3+7.81+9.69+7.24+8.91+12.71+8.62+7.88+9.76+8.18+9.16+6.14+7.49+7.02+8.16)/44</f>
        <v>7.422045455</v>
      </c>
      <c r="C5" s="41">
        <v>44.0</v>
      </c>
      <c r="E5" s="5" t="s">
        <v>8</v>
      </c>
      <c r="F5" s="10">
        <f>(6.88+4.88+3.82+3.18+4.35+4.96)/6</f>
        <v>4.678333333</v>
      </c>
      <c r="G5" s="41">
        <v>6.0</v>
      </c>
      <c r="I5" s="13" t="s">
        <v>12</v>
      </c>
      <c r="J5" s="8">
        <v>4.95</v>
      </c>
    </row>
    <row r="6">
      <c r="A6" s="5" t="s">
        <v>10</v>
      </c>
      <c r="B6" s="10">
        <f>(5.06+5.35)/2</f>
        <v>5.205</v>
      </c>
      <c r="C6" s="41">
        <v>2.0</v>
      </c>
      <c r="E6" s="5" t="s">
        <v>11</v>
      </c>
      <c r="F6" s="10">
        <f>(5.95+7.42+5.23+8.84+8.59+8.24+7.55+6.3+9.24+7.93+4.61+6.91+14.2+9.55+3.18)/15</f>
        <v>7.582666667</v>
      </c>
      <c r="G6" s="41">
        <v>15.0</v>
      </c>
      <c r="I6" s="13" t="s">
        <v>16</v>
      </c>
      <c r="J6" s="8">
        <v>5.31</v>
      </c>
    </row>
    <row r="7">
      <c r="A7" s="5" t="s">
        <v>13</v>
      </c>
      <c r="B7" s="38" t="s">
        <v>14</v>
      </c>
      <c r="C7" s="40">
        <v>0.0</v>
      </c>
      <c r="E7" s="5" t="s">
        <v>15</v>
      </c>
      <c r="F7" s="6">
        <v>7.8</v>
      </c>
      <c r="G7" s="40">
        <v>1.0</v>
      </c>
      <c r="I7" s="13" t="s">
        <v>19</v>
      </c>
      <c r="J7" s="8">
        <v>4.99</v>
      </c>
    </row>
    <row r="8">
      <c r="A8" s="5" t="s">
        <v>17</v>
      </c>
      <c r="B8" s="39">
        <f>(4.33+5.98+6.5+1.4+6.29+5.68)/6</f>
        <v>5.03</v>
      </c>
      <c r="C8" s="40">
        <v>6.0</v>
      </c>
      <c r="E8" s="5" t="s">
        <v>18</v>
      </c>
      <c r="F8" s="16">
        <f>(5.29+3.54+3.62+4.5+3.67+3.86+1.78+2.81)/8</f>
        <v>3.63375</v>
      </c>
      <c r="G8" s="40">
        <v>8.0</v>
      </c>
      <c r="I8" s="13" t="s">
        <v>22</v>
      </c>
      <c r="J8" s="8">
        <v>5.3</v>
      </c>
    </row>
    <row r="9">
      <c r="A9" s="5" t="s">
        <v>20</v>
      </c>
      <c r="B9" s="17" t="s">
        <v>14</v>
      </c>
      <c r="C9" s="41">
        <v>0.0</v>
      </c>
      <c r="E9" s="5" t="s">
        <v>21</v>
      </c>
      <c r="F9" s="10">
        <f>(6.11+4.4+5.37+2.14)/4</f>
        <v>4.505</v>
      </c>
      <c r="G9" s="41">
        <v>4.0</v>
      </c>
      <c r="I9" s="13" t="s">
        <v>25</v>
      </c>
      <c r="J9" s="8">
        <v>5.11</v>
      </c>
    </row>
    <row r="10">
      <c r="A10" s="5" t="s">
        <v>23</v>
      </c>
      <c r="B10" s="17">
        <f>(9.93+9.68+8.5+3.83+6.41)/5</f>
        <v>7.67</v>
      </c>
      <c r="C10" s="41">
        <v>5.0</v>
      </c>
      <c r="E10" s="5" t="s">
        <v>24</v>
      </c>
      <c r="F10" s="10">
        <f>(5.64+7.1+6.68+5.62+4.48)/5</f>
        <v>5.904</v>
      </c>
      <c r="G10" s="41">
        <v>5.0</v>
      </c>
      <c r="I10" s="13" t="s">
        <v>28</v>
      </c>
      <c r="J10" s="8">
        <v>4.33</v>
      </c>
    </row>
    <row r="11">
      <c r="A11" s="5" t="s">
        <v>26</v>
      </c>
      <c r="B11" s="39">
        <f>(12.24+6.04+7.11)/3</f>
        <v>8.463333333</v>
      </c>
      <c r="C11" s="40">
        <v>3.0</v>
      </c>
      <c r="E11" s="5" t="s">
        <v>27</v>
      </c>
      <c r="F11" s="16">
        <f>(5.59+6.33+7.73+6.18+6.88+5.62+5.72+5.76)/8</f>
        <v>6.22625</v>
      </c>
      <c r="G11" s="40">
        <v>8.0</v>
      </c>
      <c r="I11" s="13" t="s">
        <v>31</v>
      </c>
      <c r="J11" s="8">
        <v>8.14</v>
      </c>
    </row>
    <row r="12">
      <c r="A12" s="5" t="s">
        <v>29</v>
      </c>
      <c r="B12" s="38" t="s">
        <v>14</v>
      </c>
      <c r="C12" s="40">
        <v>0.0</v>
      </c>
      <c r="E12" s="5" t="s">
        <v>30</v>
      </c>
      <c r="F12" s="6" t="s">
        <v>14</v>
      </c>
      <c r="G12" s="40">
        <v>0.0</v>
      </c>
      <c r="I12" s="13" t="s">
        <v>34</v>
      </c>
      <c r="J12" s="8">
        <v>5.07</v>
      </c>
    </row>
    <row r="13">
      <c r="A13" s="5" t="s">
        <v>32</v>
      </c>
      <c r="B13" s="17" t="s">
        <v>14</v>
      </c>
      <c r="C13" s="41">
        <v>0.0</v>
      </c>
      <c r="E13" s="5" t="s">
        <v>33</v>
      </c>
      <c r="F13" s="17" t="s">
        <v>14</v>
      </c>
      <c r="G13" s="41">
        <v>0.0</v>
      </c>
      <c r="I13" s="13" t="s">
        <v>37</v>
      </c>
      <c r="J13" s="8">
        <v>5.52</v>
      </c>
    </row>
    <row r="14">
      <c r="A14" s="5" t="s">
        <v>35</v>
      </c>
      <c r="B14" s="17">
        <v>7.72</v>
      </c>
      <c r="C14" s="41">
        <v>1.0</v>
      </c>
      <c r="E14" s="5" t="s">
        <v>36</v>
      </c>
      <c r="F14" s="10">
        <f>(7.94+4.68+7.36+8.38+3.26+8.1+4.68+5.37+2.95+4.74+5.74+5.39+4.49+6.11+5.59+3.78+7.31+4.8+4.78+5.25+6.89+5.61+6+7.43+6.81+5.16+5.9+4.65+6.12+7.75)/30</f>
        <v>5.767333333</v>
      </c>
      <c r="G14" s="41">
        <v>30.0</v>
      </c>
      <c r="I14" s="13" t="s">
        <v>40</v>
      </c>
      <c r="J14" s="8">
        <v>5.06</v>
      </c>
    </row>
    <row r="15">
      <c r="A15" s="5" t="s">
        <v>38</v>
      </c>
      <c r="B15" s="38">
        <v>5.9</v>
      </c>
      <c r="C15" s="40">
        <v>1.0</v>
      </c>
      <c r="E15" s="5" t="s">
        <v>39</v>
      </c>
      <c r="F15" s="6" t="s">
        <v>14</v>
      </c>
      <c r="G15" s="40">
        <v>0.0</v>
      </c>
      <c r="I15" s="13" t="s">
        <v>43</v>
      </c>
      <c r="J15" s="8">
        <v>6.0</v>
      </c>
    </row>
    <row r="16">
      <c r="A16" s="5" t="s">
        <v>41</v>
      </c>
      <c r="B16" s="39">
        <f>(4.86+6.83)/2</f>
        <v>5.845</v>
      </c>
      <c r="C16" s="40">
        <v>2.0</v>
      </c>
      <c r="E16" s="5" t="s">
        <v>42</v>
      </c>
      <c r="F16" s="6">
        <v>7.87</v>
      </c>
      <c r="G16" s="40">
        <v>1.0</v>
      </c>
      <c r="I16" s="13" t="s">
        <v>46</v>
      </c>
      <c r="J16" s="8">
        <v>4.56</v>
      </c>
    </row>
    <row r="17">
      <c r="A17" s="5" t="s">
        <v>44</v>
      </c>
      <c r="B17" s="17">
        <v>7.66</v>
      </c>
      <c r="C17" s="41">
        <v>1.0</v>
      </c>
      <c r="E17" s="5" t="s">
        <v>45</v>
      </c>
      <c r="F17" s="10">
        <f>(5.4+4.81+5.36+5.43+3.93+5.31+4.54+7.45+3.86+6.12)/10</f>
        <v>5.221</v>
      </c>
      <c r="G17" s="41">
        <v>10.0</v>
      </c>
      <c r="I17" s="13" t="s">
        <v>49</v>
      </c>
      <c r="J17" s="8">
        <v>5.91</v>
      </c>
    </row>
    <row r="18">
      <c r="A18" s="5" t="s">
        <v>47</v>
      </c>
      <c r="B18" s="17" t="s">
        <v>14</v>
      </c>
      <c r="C18" s="41">
        <v>0.0</v>
      </c>
      <c r="E18" s="5" t="s">
        <v>48</v>
      </c>
      <c r="F18" s="10">
        <f>(10.06+9.85+11.84+9.93+16.8+6.39+11.13+9.4+11.97+10.33+11.54+12.48+2.14+11.46+10.78+10.46+7.38+16.51+8.46+7.52+11.28+15.5+9.33+12.48+4.74)/25</f>
        <v>10.3904</v>
      </c>
      <c r="G18" s="41">
        <v>25.0</v>
      </c>
      <c r="I18" s="13" t="s">
        <v>52</v>
      </c>
      <c r="J18" s="8">
        <v>6.23</v>
      </c>
    </row>
    <row r="19">
      <c r="A19" s="5" t="s">
        <v>50</v>
      </c>
      <c r="B19" s="38" t="s">
        <v>14</v>
      </c>
      <c r="C19" s="40">
        <v>0.0</v>
      </c>
      <c r="E19" s="5" t="s">
        <v>51</v>
      </c>
      <c r="F19" s="16">
        <f>(5.4+3.3+4.16+6.37)/4</f>
        <v>4.8075</v>
      </c>
      <c r="G19" s="40">
        <v>4.0</v>
      </c>
      <c r="I19" s="13" t="s">
        <v>55</v>
      </c>
      <c r="J19" s="8">
        <v>5.96</v>
      </c>
    </row>
    <row r="20">
      <c r="A20" s="5" t="s">
        <v>53</v>
      </c>
      <c r="B20" s="16">
        <f>(3.45+5.57+3.78+3.53)/4</f>
        <v>4.0825</v>
      </c>
      <c r="C20" s="40">
        <v>4.0</v>
      </c>
      <c r="E20" s="5" t="s">
        <v>54</v>
      </c>
      <c r="F20" s="16">
        <f>(11.17+7.63+4.97+8.6)/4</f>
        <v>8.0925</v>
      </c>
      <c r="G20" s="40">
        <v>4.0</v>
      </c>
      <c r="I20" s="13" t="s">
        <v>58</v>
      </c>
      <c r="J20" s="8">
        <v>5.15</v>
      </c>
    </row>
    <row r="21" ht="15.75" customHeight="1">
      <c r="A21" s="5" t="s">
        <v>56</v>
      </c>
      <c r="B21" s="17" t="s">
        <v>14</v>
      </c>
      <c r="C21" s="41">
        <v>0.0</v>
      </c>
      <c r="E21" s="5" t="s">
        <v>57</v>
      </c>
      <c r="F21" s="10">
        <f>(5.72+5.23+5.34+3.37+5.6+3.67+5.4+3.89+6.14+4.59)/10</f>
        <v>4.895</v>
      </c>
      <c r="G21" s="41">
        <v>10.0</v>
      </c>
      <c r="I21" s="13" t="s">
        <v>61</v>
      </c>
      <c r="J21" s="8">
        <v>6.51</v>
      </c>
    </row>
    <row r="22" ht="15.75" customHeight="1">
      <c r="A22" s="5" t="s">
        <v>59</v>
      </c>
      <c r="B22" s="17" t="s">
        <v>14</v>
      </c>
      <c r="C22" s="41">
        <v>0.0</v>
      </c>
      <c r="E22" s="5" t="s">
        <v>60</v>
      </c>
      <c r="F22" s="17" t="s">
        <v>14</v>
      </c>
      <c r="G22" s="41">
        <v>0.0</v>
      </c>
      <c r="I22" s="13" t="s">
        <v>64</v>
      </c>
      <c r="J22" s="8">
        <v>4.2</v>
      </c>
    </row>
    <row r="23" ht="15.75" customHeight="1">
      <c r="A23" s="5" t="s">
        <v>62</v>
      </c>
      <c r="B23" s="38">
        <v>5.63</v>
      </c>
      <c r="C23" s="40">
        <v>1.0</v>
      </c>
      <c r="E23" s="5" t="s">
        <v>63</v>
      </c>
      <c r="F23" s="6" t="s">
        <v>14</v>
      </c>
      <c r="G23" s="40">
        <v>0.0</v>
      </c>
      <c r="I23" s="13" t="s">
        <v>67</v>
      </c>
      <c r="J23" s="8">
        <v>5.8</v>
      </c>
    </row>
    <row r="24" ht="15.75" customHeight="1">
      <c r="A24" s="5" t="s">
        <v>65</v>
      </c>
      <c r="B24" s="38" t="s">
        <v>14</v>
      </c>
      <c r="C24" s="40">
        <v>0.0</v>
      </c>
      <c r="E24" s="5" t="s">
        <v>66</v>
      </c>
      <c r="F24" s="6" t="s">
        <v>14</v>
      </c>
      <c r="G24" s="40">
        <v>0.0</v>
      </c>
      <c r="I24" s="13" t="s">
        <v>70</v>
      </c>
      <c r="J24" s="8">
        <v>5.79</v>
      </c>
    </row>
    <row r="25" ht="15.75" customHeight="1">
      <c r="A25" s="5" t="s">
        <v>68</v>
      </c>
      <c r="B25" s="10">
        <f>(4.08+5.17+6.74+5.13+4.18)/5</f>
        <v>5.06</v>
      </c>
      <c r="C25" s="41">
        <v>5.0</v>
      </c>
      <c r="E25" s="5" t="s">
        <v>69</v>
      </c>
      <c r="F25" s="10">
        <f>(9.48+6.3)/2</f>
        <v>7.89</v>
      </c>
      <c r="G25" s="41">
        <v>2.0</v>
      </c>
      <c r="I25" s="13" t="s">
        <v>73</v>
      </c>
      <c r="J25" s="8">
        <v>5.08</v>
      </c>
    </row>
    <row r="26" ht="15.75" customHeight="1">
      <c r="A26" s="5" t="s">
        <v>71</v>
      </c>
      <c r="B26" s="17" t="s">
        <v>14</v>
      </c>
      <c r="C26" s="41">
        <v>0.0</v>
      </c>
      <c r="E26" s="5" t="s">
        <v>72</v>
      </c>
      <c r="F26" s="17">
        <v>6.45</v>
      </c>
      <c r="G26" s="41">
        <v>1.0</v>
      </c>
      <c r="I26" s="13" t="s">
        <v>76</v>
      </c>
      <c r="J26" s="8">
        <v>4.75</v>
      </c>
    </row>
    <row r="27" ht="15.75" customHeight="1">
      <c r="A27" s="5" t="s">
        <v>74</v>
      </c>
      <c r="B27" s="38">
        <v>4.58</v>
      </c>
      <c r="C27" s="40">
        <v>1.0</v>
      </c>
      <c r="E27" s="5" t="s">
        <v>75</v>
      </c>
      <c r="F27" s="16">
        <f>(5.36+6.14+9.18+6.78+7.14+8.61+8.56)/7</f>
        <v>7.395714286</v>
      </c>
      <c r="G27" s="40">
        <v>7.0</v>
      </c>
      <c r="I27" s="13" t="s">
        <v>79</v>
      </c>
      <c r="J27" s="8">
        <v>5.5</v>
      </c>
    </row>
    <row r="28" ht="15.75" customHeight="1">
      <c r="A28" s="5" t="s">
        <v>77</v>
      </c>
      <c r="B28" s="39">
        <f>(6.93+5.17+8.4+7.52+6.31+7.11)/6</f>
        <v>6.906666667</v>
      </c>
      <c r="C28" s="40">
        <v>6.0</v>
      </c>
      <c r="E28" s="5" t="s">
        <v>78</v>
      </c>
      <c r="F28" s="16">
        <f>(9.22+6.89+7.69+10.67+4.83+10.32+9.22+6.91+6.16+11.07+6.18+9.73+8.93+2.65+11.24+8.04+9.44)/17</f>
        <v>8.187647059</v>
      </c>
      <c r="G28" s="40">
        <v>17.0</v>
      </c>
      <c r="I28" s="13" t="s">
        <v>82</v>
      </c>
      <c r="J28" s="8">
        <v>5.47</v>
      </c>
    </row>
    <row r="29" ht="15.75" customHeight="1">
      <c r="A29" s="5" t="s">
        <v>80</v>
      </c>
      <c r="B29" s="10">
        <f>(7.3+7.08+7.14+5.66)/4</f>
        <v>6.795</v>
      </c>
      <c r="C29" s="41">
        <v>4.0</v>
      </c>
      <c r="E29" s="5" t="s">
        <v>81</v>
      </c>
      <c r="F29" s="17" t="s">
        <v>14</v>
      </c>
      <c r="G29" s="41">
        <v>0.0</v>
      </c>
      <c r="I29" s="13" t="s">
        <v>85</v>
      </c>
      <c r="J29" s="8">
        <v>5.16</v>
      </c>
    </row>
    <row r="30" ht="15.75" customHeight="1">
      <c r="A30" s="5" t="s">
        <v>83</v>
      </c>
      <c r="B30" s="10">
        <f>(6.72+8.4)/2</f>
        <v>7.56</v>
      </c>
      <c r="C30" s="41">
        <v>2.0</v>
      </c>
      <c r="E30" s="5" t="s">
        <v>84</v>
      </c>
      <c r="F30" s="10">
        <f>(9.2+9.38)/2</f>
        <v>9.29</v>
      </c>
      <c r="G30" s="41">
        <v>2.0</v>
      </c>
      <c r="I30" s="13" t="s">
        <v>88</v>
      </c>
      <c r="J30" s="8">
        <v>5.12</v>
      </c>
    </row>
    <row r="31" ht="15.75" customHeight="1">
      <c r="A31" s="5" t="s">
        <v>86</v>
      </c>
      <c r="B31" s="39">
        <f>(6.11+7.86)/2</f>
        <v>6.985</v>
      </c>
      <c r="C31" s="40">
        <v>2.0</v>
      </c>
      <c r="E31" s="5" t="s">
        <v>87</v>
      </c>
      <c r="F31" s="6">
        <v>9.78</v>
      </c>
      <c r="G31" s="40">
        <v>1.0</v>
      </c>
      <c r="I31" s="13" t="s">
        <v>90</v>
      </c>
      <c r="J31" s="8">
        <v>5.43</v>
      </c>
    </row>
    <row r="32" ht="15.75" customHeight="1">
      <c r="A32" s="5" t="s">
        <v>64</v>
      </c>
      <c r="B32" s="38">
        <v>4.62</v>
      </c>
      <c r="C32" s="40">
        <v>1.0</v>
      </c>
      <c r="E32" s="5" t="s">
        <v>89</v>
      </c>
      <c r="F32" s="16">
        <f>(4.67+6.85+6.15+13.52+8.28+0.85)/6</f>
        <v>6.72</v>
      </c>
      <c r="G32" s="40">
        <v>6.0</v>
      </c>
      <c r="I32" s="13" t="s">
        <v>93</v>
      </c>
      <c r="J32" s="8">
        <v>2.74</v>
      </c>
    </row>
    <row r="33" ht="15.75" customHeight="1">
      <c r="A33" s="5" t="s">
        <v>91</v>
      </c>
      <c r="B33" s="17" t="s">
        <v>14</v>
      </c>
      <c r="C33" s="41">
        <v>0.0</v>
      </c>
      <c r="E33" s="5" t="s">
        <v>92</v>
      </c>
      <c r="F33" s="10">
        <f>(4.58+5.01)/2</f>
        <v>4.795</v>
      </c>
      <c r="G33" s="41">
        <v>2.0</v>
      </c>
      <c r="I33" s="13" t="s">
        <v>96</v>
      </c>
      <c r="J33" s="8">
        <v>4.94</v>
      </c>
    </row>
    <row r="34" ht="15.75" customHeight="1">
      <c r="A34" s="5" t="s">
        <v>94</v>
      </c>
      <c r="B34" s="17">
        <v>4.47</v>
      </c>
      <c r="C34" s="41">
        <v>1.0</v>
      </c>
      <c r="E34" s="5" t="s">
        <v>95</v>
      </c>
      <c r="F34" s="17">
        <v>6.34</v>
      </c>
      <c r="G34" s="41">
        <v>1.0</v>
      </c>
      <c r="I34" s="13" t="s">
        <v>99</v>
      </c>
      <c r="J34" s="8">
        <v>4.34</v>
      </c>
    </row>
    <row r="35" ht="15.75" customHeight="1">
      <c r="A35" s="5" t="s">
        <v>97</v>
      </c>
      <c r="B35" s="38" t="s">
        <v>14</v>
      </c>
      <c r="C35" s="40">
        <v>0.0</v>
      </c>
      <c r="E35" s="5" t="s">
        <v>98</v>
      </c>
      <c r="F35" s="16">
        <f>(10.12+6.34)/2</f>
        <v>8.23</v>
      </c>
      <c r="G35" s="40">
        <v>2.0</v>
      </c>
      <c r="I35" s="13" t="s">
        <v>102</v>
      </c>
      <c r="J35" s="8">
        <v>5.47</v>
      </c>
    </row>
    <row r="36" ht="15.75" customHeight="1">
      <c r="A36" s="5" t="s">
        <v>100</v>
      </c>
      <c r="B36" s="38" t="s">
        <v>14</v>
      </c>
      <c r="C36" s="40">
        <v>0.0</v>
      </c>
      <c r="E36" s="5" t="s">
        <v>101</v>
      </c>
      <c r="F36" s="16">
        <f>(5.17+6.43+8.27+6)/4</f>
        <v>6.4675</v>
      </c>
      <c r="G36" s="40">
        <v>4.0</v>
      </c>
      <c r="I36" s="13" t="s">
        <v>104</v>
      </c>
      <c r="J36" s="8">
        <v>4.44</v>
      </c>
    </row>
    <row r="37" ht="15.75" customHeight="1">
      <c r="A37" s="5" t="s">
        <v>103</v>
      </c>
      <c r="B37" s="17" t="s">
        <v>14</v>
      </c>
      <c r="C37" s="41">
        <v>0.0</v>
      </c>
      <c r="I37" s="13" t="s">
        <v>105</v>
      </c>
      <c r="J37" s="8">
        <v>4.81</v>
      </c>
    </row>
    <row r="38" ht="15.75" customHeight="1">
      <c r="B38" s="21"/>
      <c r="C38" s="21"/>
      <c r="I38" s="13" t="s">
        <v>106</v>
      </c>
      <c r="J38" s="8">
        <v>5.65</v>
      </c>
    </row>
    <row r="39" ht="15.75" customHeight="1">
      <c r="I39" s="13" t="s">
        <v>107</v>
      </c>
      <c r="J39" s="8">
        <v>5.4</v>
      </c>
    </row>
    <row r="40" ht="15.75" customHeight="1">
      <c r="I40" s="13" t="s">
        <v>108</v>
      </c>
      <c r="J40" s="8">
        <v>4.85</v>
      </c>
    </row>
    <row r="41" ht="15.75" customHeight="1">
      <c r="I41" s="13" t="s">
        <v>109</v>
      </c>
      <c r="J41" s="8">
        <v>5.32</v>
      </c>
    </row>
    <row r="42" ht="15.75" customHeight="1">
      <c r="I42" s="13" t="s">
        <v>110</v>
      </c>
      <c r="J42" s="8">
        <v>5.08</v>
      </c>
    </row>
    <row r="43" ht="15.75" customHeight="1">
      <c r="I43" s="13" t="s">
        <v>111</v>
      </c>
      <c r="J43" s="8">
        <v>4.56</v>
      </c>
    </row>
    <row r="44" ht="15.75" customHeight="1">
      <c r="I44" s="13" t="s">
        <v>112</v>
      </c>
      <c r="J44" s="8">
        <v>5.17</v>
      </c>
    </row>
    <row r="45" ht="15.75" customHeight="1">
      <c r="I45" s="13" t="s">
        <v>113</v>
      </c>
      <c r="J45" s="8">
        <v>4.93</v>
      </c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H1"/>
    <mergeCell ref="A2:H2"/>
  </mergeCells>
  <printOptions/>
  <pageMargins bottom="0.75" footer="0.0" header="0.0" left="0.7" right="0.7" top="0.75"/>
  <pageSetup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43"/>
    <col customWidth="1" min="2" max="2" width="17.0"/>
    <col customWidth="1" min="3" max="3" width="13.86"/>
    <col customWidth="1" min="4" max="4" width="8.71"/>
    <col customWidth="1" min="5" max="5" width="13.0"/>
    <col customWidth="1" min="6" max="6" width="17.29"/>
    <col customWidth="1" min="7" max="7" width="12.43"/>
    <col customWidth="1" min="8" max="8" width="17.0"/>
    <col customWidth="1" min="9" max="9" width="13.43"/>
    <col customWidth="1" min="10" max="26" width="8.71"/>
  </cols>
  <sheetData>
    <row r="1">
      <c r="A1" s="1" t="s">
        <v>0</v>
      </c>
    </row>
    <row r="2">
      <c r="A2" s="2" t="s">
        <v>125</v>
      </c>
    </row>
    <row r="3">
      <c r="B3" s="4" t="s">
        <v>2</v>
      </c>
      <c r="C3" s="1" t="s">
        <v>3</v>
      </c>
      <c r="F3" s="4" t="s">
        <v>2</v>
      </c>
      <c r="G3" s="1" t="s">
        <v>3</v>
      </c>
      <c r="I3" s="9" t="s">
        <v>126</v>
      </c>
    </row>
    <row r="4">
      <c r="A4" s="5" t="s">
        <v>4</v>
      </c>
      <c r="B4" s="38">
        <f>(0.14+0.24+0.64+1.47+0+0.28+0.03+0+0.16+0.13+0.32+0+0+0+0+0+0+0.01+1.9+0.58+0.31+1.8+0+0.05+0.05+0.11+0.11+0.17)/28</f>
        <v>0.3035714286</v>
      </c>
      <c r="C4" s="40">
        <v>28.0</v>
      </c>
      <c r="E4" s="5" t="s">
        <v>5</v>
      </c>
      <c r="F4" s="16">
        <f>(1.41+3.09+1.28+2.97)/4</f>
        <v>2.1875</v>
      </c>
      <c r="G4" s="40">
        <v>4.0</v>
      </c>
      <c r="I4" s="13" t="s">
        <v>9</v>
      </c>
      <c r="J4" s="8">
        <v>4.63</v>
      </c>
    </row>
    <row r="5">
      <c r="A5" s="5" t="s">
        <v>7</v>
      </c>
      <c r="B5" s="10">
        <f>(2.84+2.26+3.69+1.49+4.97+2.77+4.35+5.25+4.86+2.03+2.36+2.02+3.86+2.63+3.95+1.24+6.08+3.95+3.2+7.95+5.49+4.96+5.17+1.1+2.59+2.22+2.38+8.63+1.67+5.67+1.93+1.61+3.16+6.35+4.92+4.04+5.69+3.39+2.17+2.33+1.48+2.06+2.6+3.79)/44</f>
        <v>3.571590909</v>
      </c>
      <c r="C5" s="41">
        <v>44.0</v>
      </c>
      <c r="E5" s="5" t="s">
        <v>8</v>
      </c>
      <c r="F5" s="10">
        <f>(7.32+1.71+1.44+1.97+2.04+0.82)/6</f>
        <v>2.55</v>
      </c>
      <c r="G5" s="41">
        <v>6.0</v>
      </c>
      <c r="I5" s="13" t="s">
        <v>12</v>
      </c>
      <c r="J5" s="8">
        <v>4.22</v>
      </c>
    </row>
    <row r="6">
      <c r="A6" s="5" t="s">
        <v>10</v>
      </c>
      <c r="B6" s="17">
        <v>2.26</v>
      </c>
      <c r="C6" s="41">
        <v>1.0</v>
      </c>
      <c r="E6" s="5" t="s">
        <v>11</v>
      </c>
      <c r="F6" s="10">
        <f>(0.41+1.07+1.28+1.59+2.29+1.84+2.32+0.22+2.64+1.74+1.7+2.36+2.86+0.82)/14</f>
        <v>1.652857143</v>
      </c>
      <c r="G6" s="41">
        <v>14.0</v>
      </c>
      <c r="I6" s="13" t="s">
        <v>16</v>
      </c>
      <c r="J6" s="8">
        <v>4.5</v>
      </c>
    </row>
    <row r="7">
      <c r="A7" s="5" t="s">
        <v>13</v>
      </c>
      <c r="B7" s="38" t="s">
        <v>14</v>
      </c>
      <c r="C7" s="40">
        <v>0.0</v>
      </c>
      <c r="E7" s="5" t="s">
        <v>15</v>
      </c>
      <c r="F7" s="6">
        <v>1.9</v>
      </c>
      <c r="G7" s="40">
        <v>1.0</v>
      </c>
      <c r="I7" s="13" t="s">
        <v>19</v>
      </c>
      <c r="J7" s="8">
        <v>3.57</v>
      </c>
    </row>
    <row r="8">
      <c r="A8" s="5" t="s">
        <v>17</v>
      </c>
      <c r="B8" s="39">
        <f>(3.01+0.51+2.93+0.43+2.25+1.56)/6</f>
        <v>1.781666667</v>
      </c>
      <c r="C8" s="40">
        <v>6.0</v>
      </c>
      <c r="E8" s="5" t="s">
        <v>18</v>
      </c>
      <c r="F8" s="16">
        <f>(0.27+0.8+0.25+0+0.05+0.52+0+0.08)/8</f>
        <v>0.24625</v>
      </c>
      <c r="G8" s="40">
        <v>8.0</v>
      </c>
      <c r="I8" s="13" t="s">
        <v>22</v>
      </c>
      <c r="J8" s="8">
        <v>5.65</v>
      </c>
    </row>
    <row r="9">
      <c r="A9" s="5" t="s">
        <v>20</v>
      </c>
      <c r="B9" s="17" t="s">
        <v>14</v>
      </c>
      <c r="C9" s="41">
        <v>0.0</v>
      </c>
      <c r="E9" s="5" t="s">
        <v>21</v>
      </c>
      <c r="F9" s="10">
        <f>(0.2+0)/2</f>
        <v>0.1</v>
      </c>
      <c r="G9" s="41">
        <v>2.0</v>
      </c>
      <c r="I9" s="13" t="s">
        <v>25</v>
      </c>
      <c r="J9" s="8">
        <v>4.47</v>
      </c>
    </row>
    <row r="10">
      <c r="A10" s="5" t="s">
        <v>23</v>
      </c>
      <c r="B10" s="17">
        <f>(0.27+1.11+0.27+0.31+0.27)/5</f>
        <v>0.446</v>
      </c>
      <c r="C10" s="41">
        <v>5.0</v>
      </c>
      <c r="E10" s="5" t="s">
        <v>24</v>
      </c>
      <c r="F10" s="10">
        <f>(0.75+0.5+1.41+1.3+0.75)/5</f>
        <v>0.942</v>
      </c>
      <c r="G10" s="41">
        <v>5.0</v>
      </c>
      <c r="I10" s="13" t="s">
        <v>28</v>
      </c>
      <c r="J10" s="8">
        <v>3.39</v>
      </c>
    </row>
    <row r="11">
      <c r="A11" s="5" t="s">
        <v>26</v>
      </c>
      <c r="B11" s="39">
        <f>(1.65+1.59+0.99)/3</f>
        <v>1.41</v>
      </c>
      <c r="C11" s="40">
        <v>3.0</v>
      </c>
      <c r="E11" s="5" t="s">
        <v>27</v>
      </c>
      <c r="F11" s="16">
        <f>(1.03+0.82+0.11+1.94+0+0.46+1.16+1.99+2.75)/9</f>
        <v>1.14</v>
      </c>
      <c r="G11" s="40">
        <v>9.0</v>
      </c>
      <c r="I11" s="13" t="s">
        <v>31</v>
      </c>
      <c r="J11" s="8">
        <v>6.44</v>
      </c>
    </row>
    <row r="12">
      <c r="A12" s="5" t="s">
        <v>29</v>
      </c>
      <c r="B12" s="38" t="s">
        <v>14</v>
      </c>
      <c r="C12" s="40">
        <v>0.0</v>
      </c>
      <c r="E12" s="5" t="s">
        <v>30</v>
      </c>
      <c r="F12" s="6" t="s">
        <v>14</v>
      </c>
      <c r="G12" s="40">
        <v>0.0</v>
      </c>
      <c r="I12" s="13" t="s">
        <v>34</v>
      </c>
      <c r="J12" s="8">
        <v>3.72</v>
      </c>
    </row>
    <row r="13">
      <c r="A13" s="5" t="s">
        <v>32</v>
      </c>
      <c r="B13" s="17" t="s">
        <v>14</v>
      </c>
      <c r="C13" s="41">
        <v>0.0</v>
      </c>
      <c r="E13" s="5" t="s">
        <v>33</v>
      </c>
      <c r="F13" s="17" t="s">
        <v>14</v>
      </c>
      <c r="G13" s="41">
        <v>0.0</v>
      </c>
      <c r="I13" s="13" t="s">
        <v>37</v>
      </c>
      <c r="J13" s="8">
        <v>4.16</v>
      </c>
    </row>
    <row r="14">
      <c r="A14" s="5" t="s">
        <v>35</v>
      </c>
      <c r="B14" s="17">
        <v>2.42</v>
      </c>
      <c r="C14" s="41">
        <v>1.0</v>
      </c>
      <c r="E14" s="5" t="s">
        <v>36</v>
      </c>
      <c r="F14" s="10">
        <f>(1.71+1.66+0.85+1.66+0.49+1.28+0.57+1.18+1.2+0.36+2.06+1.48+0.82+2.94+0.92+0.53+1.04+2.27+1.7+0.48+1.48+1.72+1.97+1.55+0.59+1.5+1.06+1.52+1.64+2.29)/30</f>
        <v>1.350666667</v>
      </c>
      <c r="G14" s="41">
        <v>30.0</v>
      </c>
      <c r="I14" s="13" t="s">
        <v>40</v>
      </c>
      <c r="J14" s="8">
        <v>5.02</v>
      </c>
    </row>
    <row r="15">
      <c r="A15" s="5" t="s">
        <v>38</v>
      </c>
      <c r="B15" s="38">
        <v>0.3</v>
      </c>
      <c r="C15" s="40">
        <v>1.0</v>
      </c>
      <c r="E15" s="5" t="s">
        <v>39</v>
      </c>
      <c r="F15" s="6" t="s">
        <v>14</v>
      </c>
      <c r="G15" s="40">
        <v>0.0</v>
      </c>
      <c r="I15" s="13" t="s">
        <v>43</v>
      </c>
      <c r="J15" s="8">
        <v>4.69</v>
      </c>
    </row>
    <row r="16">
      <c r="A16" s="5" t="s">
        <v>41</v>
      </c>
      <c r="B16" s="39">
        <f>(0.39+1.01)/2</f>
        <v>0.7</v>
      </c>
      <c r="C16" s="40">
        <v>2.0</v>
      </c>
      <c r="E16" s="5" t="s">
        <v>42</v>
      </c>
      <c r="F16" s="6">
        <v>0.67</v>
      </c>
      <c r="G16" s="40">
        <v>1.0</v>
      </c>
      <c r="I16" s="13" t="s">
        <v>46</v>
      </c>
      <c r="J16" s="8">
        <v>4.09</v>
      </c>
    </row>
    <row r="17">
      <c r="A17" s="5" t="s">
        <v>44</v>
      </c>
      <c r="B17" s="17">
        <v>2.14</v>
      </c>
      <c r="C17" s="41">
        <v>1.0</v>
      </c>
      <c r="E17" s="5" t="s">
        <v>45</v>
      </c>
      <c r="F17" s="10">
        <f>(3.56+2.96+1.71+1.2+2.48+3.45+4.08+5.8+3.5+0.72)/10</f>
        <v>2.946</v>
      </c>
      <c r="G17" s="41">
        <v>10.0</v>
      </c>
      <c r="I17" s="13" t="s">
        <v>49</v>
      </c>
      <c r="J17" s="8">
        <v>4.1</v>
      </c>
    </row>
    <row r="18">
      <c r="A18" s="5" t="s">
        <v>47</v>
      </c>
      <c r="B18" s="17" t="s">
        <v>14</v>
      </c>
      <c r="C18" s="41">
        <v>0.0</v>
      </c>
      <c r="E18" s="5" t="s">
        <v>48</v>
      </c>
      <c r="F18" s="10">
        <f>(1.76+1.43+4.32+2.85+1.08+1.03+4.11+2.17+6.57+3+2.74+1.8+1.54+4.82+1.98+1.72+1.64+3.28+2.14+2.16+1.93+4.51+1.33+3.06+1.4)/25</f>
        <v>2.5748</v>
      </c>
      <c r="G18" s="41">
        <v>25.0</v>
      </c>
      <c r="I18" s="13" t="s">
        <v>52</v>
      </c>
      <c r="J18" s="8">
        <v>7.19</v>
      </c>
    </row>
    <row r="19">
      <c r="A19" s="5" t="s">
        <v>50</v>
      </c>
      <c r="B19" s="38" t="s">
        <v>14</v>
      </c>
      <c r="C19" s="40">
        <v>0.0</v>
      </c>
      <c r="E19" s="5" t="s">
        <v>51</v>
      </c>
      <c r="F19" s="16">
        <f>(1.88+1.6+0.73+1.6)/4</f>
        <v>1.4525</v>
      </c>
      <c r="G19" s="40">
        <v>4.0</v>
      </c>
      <c r="I19" s="13" t="s">
        <v>55</v>
      </c>
      <c r="J19" s="8">
        <v>4.49</v>
      </c>
    </row>
    <row r="20">
      <c r="A20" s="5" t="s">
        <v>53</v>
      </c>
      <c r="B20" s="39">
        <f>(0.1+0.31+1.51+0.19)/4</f>
        <v>0.5275</v>
      </c>
      <c r="C20" s="40">
        <v>4.0</v>
      </c>
      <c r="E20" s="5" t="s">
        <v>54</v>
      </c>
      <c r="F20" s="16">
        <f>(2.47+1.25+3.05+0.77)/4</f>
        <v>1.885</v>
      </c>
      <c r="G20" s="40">
        <v>4.0</v>
      </c>
      <c r="I20" s="13" t="s">
        <v>58</v>
      </c>
      <c r="J20" s="8">
        <v>3.57</v>
      </c>
    </row>
    <row r="21" ht="15.75" customHeight="1">
      <c r="A21" s="5" t="s">
        <v>56</v>
      </c>
      <c r="B21" s="17" t="s">
        <v>14</v>
      </c>
      <c r="C21" s="41">
        <v>0.0</v>
      </c>
      <c r="E21" s="5" t="s">
        <v>57</v>
      </c>
      <c r="F21" s="10">
        <f>(1.42+1.77+1.87+0.73+3.05+0.78+0.58+0.51+0.45+0.42)/10</f>
        <v>1.158</v>
      </c>
      <c r="G21" s="41">
        <v>10.0</v>
      </c>
      <c r="I21" s="13" t="s">
        <v>61</v>
      </c>
      <c r="J21" s="8">
        <v>5.07</v>
      </c>
    </row>
    <row r="22" ht="15.75" customHeight="1">
      <c r="A22" s="5" t="s">
        <v>59</v>
      </c>
      <c r="B22" s="17" t="s">
        <v>14</v>
      </c>
      <c r="C22" s="41">
        <v>0.0</v>
      </c>
      <c r="E22" s="5" t="s">
        <v>60</v>
      </c>
      <c r="F22" s="17" t="s">
        <v>14</v>
      </c>
      <c r="G22" s="41">
        <v>0.0</v>
      </c>
      <c r="I22" s="13" t="s">
        <v>64</v>
      </c>
      <c r="J22" s="8">
        <v>3.84</v>
      </c>
    </row>
    <row r="23" ht="15.75" customHeight="1">
      <c r="A23" s="5" t="s">
        <v>62</v>
      </c>
      <c r="B23" s="38">
        <v>1.76</v>
      </c>
      <c r="C23" s="40">
        <v>1.0</v>
      </c>
      <c r="E23" s="5" t="s">
        <v>63</v>
      </c>
      <c r="F23" s="6" t="s">
        <v>14</v>
      </c>
      <c r="G23" s="40">
        <v>0.0</v>
      </c>
      <c r="I23" s="13" t="s">
        <v>67</v>
      </c>
      <c r="J23" s="8">
        <v>5.03</v>
      </c>
    </row>
    <row r="24" ht="15.75" customHeight="1">
      <c r="A24" s="5" t="s">
        <v>65</v>
      </c>
      <c r="B24" s="38" t="s">
        <v>14</v>
      </c>
      <c r="C24" s="40">
        <v>0.0</v>
      </c>
      <c r="E24" s="5" t="s">
        <v>66</v>
      </c>
      <c r="F24" s="6" t="s">
        <v>14</v>
      </c>
      <c r="G24" s="40">
        <v>0.0</v>
      </c>
      <c r="I24" s="13" t="s">
        <v>70</v>
      </c>
      <c r="J24" s="8">
        <v>4.76</v>
      </c>
    </row>
    <row r="25" ht="15.75" customHeight="1">
      <c r="A25" s="5" t="s">
        <v>68</v>
      </c>
      <c r="B25" s="10">
        <f>(0.72+0.27+0.89+0.66+0.52)/5</f>
        <v>0.612</v>
      </c>
      <c r="C25" s="41">
        <v>5.0</v>
      </c>
      <c r="E25" s="5" t="s">
        <v>69</v>
      </c>
      <c r="F25" s="10">
        <f>(0.42+1.03)/2</f>
        <v>0.725</v>
      </c>
      <c r="G25" s="41">
        <v>2.0</v>
      </c>
      <c r="I25" s="13" t="s">
        <v>73</v>
      </c>
      <c r="J25" s="8">
        <v>4.35</v>
      </c>
    </row>
    <row r="26" ht="15.75" customHeight="1">
      <c r="A26" s="5" t="s">
        <v>71</v>
      </c>
      <c r="B26" s="17" t="s">
        <v>14</v>
      </c>
      <c r="C26" s="41">
        <v>0.0</v>
      </c>
      <c r="E26" s="5" t="s">
        <v>72</v>
      </c>
      <c r="F26" s="17">
        <v>2.36</v>
      </c>
      <c r="G26" s="41">
        <v>1.0</v>
      </c>
      <c r="I26" s="13" t="s">
        <v>76</v>
      </c>
      <c r="J26" s="8">
        <v>4.01</v>
      </c>
    </row>
    <row r="27" ht="15.75" customHeight="1">
      <c r="A27" s="5" t="s">
        <v>74</v>
      </c>
      <c r="B27" s="38">
        <v>0.95</v>
      </c>
      <c r="C27" s="40">
        <v>1.0</v>
      </c>
      <c r="E27" s="5" t="s">
        <v>75</v>
      </c>
      <c r="F27" s="16">
        <f>(0.13+1.17+1.75+1.46+1.38+0.89+1.24)/7</f>
        <v>1.145714286</v>
      </c>
      <c r="G27" s="40">
        <v>7.0</v>
      </c>
      <c r="I27" s="13" t="s">
        <v>79</v>
      </c>
      <c r="J27" s="8">
        <v>3.55</v>
      </c>
    </row>
    <row r="28" ht="15.75" customHeight="1">
      <c r="A28" s="5" t="s">
        <v>77</v>
      </c>
      <c r="B28" s="39">
        <f>(2.8+2.43+1.4+0.66+3.34+3.21)/6</f>
        <v>2.306666667</v>
      </c>
      <c r="C28" s="40">
        <v>6.0</v>
      </c>
      <c r="E28" s="5" t="s">
        <v>78</v>
      </c>
      <c r="F28" s="16">
        <f>(1.82+0.79+1.65+0.54+2.21+1.28+2.47+0.48+2.28+1.76+1.58+2.1+1.7+0+0.86+0.13+2.07)/17</f>
        <v>1.395294118</v>
      </c>
      <c r="G28" s="40">
        <v>17.0</v>
      </c>
      <c r="I28" s="13" t="s">
        <v>82</v>
      </c>
      <c r="J28" s="8">
        <v>3.37</v>
      </c>
    </row>
    <row r="29" ht="15.75" customHeight="1">
      <c r="A29" s="5" t="s">
        <v>80</v>
      </c>
      <c r="B29" s="10">
        <f>(1.34+1.1+0.84)/3</f>
        <v>1.093333333</v>
      </c>
      <c r="C29" s="41">
        <v>3.0</v>
      </c>
      <c r="E29" s="5" t="s">
        <v>81</v>
      </c>
      <c r="F29" s="17" t="s">
        <v>14</v>
      </c>
      <c r="G29" s="41">
        <v>0.0</v>
      </c>
      <c r="I29" s="13" t="s">
        <v>85</v>
      </c>
      <c r="J29" s="8">
        <v>3.33</v>
      </c>
    </row>
    <row r="30" ht="15.75" customHeight="1">
      <c r="A30" s="5" t="s">
        <v>83</v>
      </c>
      <c r="B30" s="10">
        <f>(1.56+0.89)/2</f>
        <v>1.225</v>
      </c>
      <c r="C30" s="41">
        <v>2.0</v>
      </c>
      <c r="E30" s="5" t="s">
        <v>84</v>
      </c>
      <c r="F30" s="10">
        <f>(2.34+1.21)/2</f>
        <v>1.775</v>
      </c>
      <c r="G30" s="41">
        <v>2.0</v>
      </c>
      <c r="I30" s="13" t="s">
        <v>88</v>
      </c>
      <c r="J30" s="8">
        <v>4.2</v>
      </c>
    </row>
    <row r="31" ht="15.75" customHeight="1">
      <c r="A31" s="5" t="s">
        <v>86</v>
      </c>
      <c r="B31" s="39">
        <f>(1.73+2.86)/2</f>
        <v>2.295</v>
      </c>
      <c r="C31" s="40">
        <v>2.0</v>
      </c>
      <c r="E31" s="5" t="s">
        <v>87</v>
      </c>
      <c r="F31" s="6">
        <v>2.07</v>
      </c>
      <c r="G31" s="40">
        <v>1.0</v>
      </c>
      <c r="I31" s="13" t="s">
        <v>90</v>
      </c>
      <c r="J31" s="8">
        <v>4.51</v>
      </c>
    </row>
    <row r="32" ht="15.75" customHeight="1">
      <c r="A32" s="5" t="s">
        <v>64</v>
      </c>
      <c r="B32" s="38">
        <v>1.69</v>
      </c>
      <c r="C32" s="40">
        <v>1.0</v>
      </c>
      <c r="E32" s="5" t="s">
        <v>89</v>
      </c>
      <c r="F32" s="16">
        <f>(1.51+1.86+2.5+1.85+3.86)/5</f>
        <v>2.316</v>
      </c>
      <c r="G32" s="40">
        <v>5.0</v>
      </c>
      <c r="I32" s="13" t="s">
        <v>93</v>
      </c>
      <c r="J32" s="8">
        <v>6.86</v>
      </c>
    </row>
    <row r="33" ht="15.75" customHeight="1">
      <c r="A33" s="5" t="s">
        <v>91</v>
      </c>
      <c r="B33" s="17" t="s">
        <v>14</v>
      </c>
      <c r="C33" s="41">
        <v>0.0</v>
      </c>
      <c r="E33" s="5" t="s">
        <v>92</v>
      </c>
      <c r="F33" s="10">
        <f>(1.07+0.29+0.66)/3</f>
        <v>0.6733333333</v>
      </c>
      <c r="G33" s="41">
        <v>3.0</v>
      </c>
      <c r="I33" s="13" t="s">
        <v>96</v>
      </c>
      <c r="J33" s="8">
        <v>4.12</v>
      </c>
    </row>
    <row r="34" ht="15.75" customHeight="1">
      <c r="A34" s="5" t="s">
        <v>94</v>
      </c>
      <c r="B34" s="17">
        <v>1.85</v>
      </c>
      <c r="C34" s="41">
        <v>1.0</v>
      </c>
      <c r="E34" s="5" t="s">
        <v>95</v>
      </c>
      <c r="F34" s="17">
        <v>0.25</v>
      </c>
      <c r="G34" s="41">
        <v>1.0</v>
      </c>
      <c r="I34" s="13" t="s">
        <v>99</v>
      </c>
      <c r="J34" s="8">
        <v>3.66</v>
      </c>
    </row>
    <row r="35" ht="15.75" customHeight="1">
      <c r="A35" s="5" t="s">
        <v>97</v>
      </c>
      <c r="B35" s="38" t="s">
        <v>14</v>
      </c>
      <c r="C35" s="40">
        <v>0.0</v>
      </c>
      <c r="E35" s="5" t="s">
        <v>98</v>
      </c>
      <c r="F35" s="16">
        <f>(1.02+3.85)/2</f>
        <v>2.435</v>
      </c>
      <c r="G35" s="40">
        <v>2.0</v>
      </c>
      <c r="I35" s="13" t="s">
        <v>102</v>
      </c>
      <c r="J35" s="8">
        <v>3.31</v>
      </c>
    </row>
    <row r="36" ht="15.75" customHeight="1">
      <c r="A36" s="5" t="s">
        <v>100</v>
      </c>
      <c r="B36" s="38" t="s">
        <v>14</v>
      </c>
      <c r="C36" s="40">
        <v>0.0</v>
      </c>
      <c r="E36" s="5" t="s">
        <v>101</v>
      </c>
      <c r="F36" s="16">
        <f>(0.4+0.31+0.37+0.35)/4</f>
        <v>0.3575</v>
      </c>
      <c r="G36" s="40">
        <v>4.0</v>
      </c>
      <c r="I36" s="13" t="s">
        <v>104</v>
      </c>
      <c r="J36" s="8">
        <v>3.56</v>
      </c>
    </row>
    <row r="37" ht="15.75" customHeight="1">
      <c r="A37" s="5" t="s">
        <v>103</v>
      </c>
      <c r="B37" s="17" t="s">
        <v>14</v>
      </c>
      <c r="C37" s="41">
        <v>0.0</v>
      </c>
      <c r="I37" s="13" t="s">
        <v>105</v>
      </c>
      <c r="J37" s="8">
        <v>4.45</v>
      </c>
    </row>
    <row r="38" ht="15.75" customHeight="1">
      <c r="I38" s="13" t="s">
        <v>106</v>
      </c>
      <c r="J38" s="8">
        <v>3.85</v>
      </c>
    </row>
    <row r="39" ht="15.75" customHeight="1">
      <c r="I39" s="13" t="s">
        <v>107</v>
      </c>
      <c r="J39" s="8">
        <v>4.9</v>
      </c>
    </row>
    <row r="40" ht="15.75" customHeight="1">
      <c r="I40" s="13" t="s">
        <v>108</v>
      </c>
      <c r="J40" s="8">
        <v>3.79</v>
      </c>
    </row>
    <row r="41" ht="15.75" customHeight="1">
      <c r="I41" s="13" t="s">
        <v>109</v>
      </c>
      <c r="J41" s="8">
        <v>4.48</v>
      </c>
    </row>
    <row r="42" ht="15.75" customHeight="1">
      <c r="I42" s="13" t="s">
        <v>110</v>
      </c>
      <c r="J42" s="8">
        <v>4.59</v>
      </c>
    </row>
    <row r="43" ht="15.75" customHeight="1">
      <c r="I43" s="13" t="s">
        <v>111</v>
      </c>
      <c r="J43" s="8">
        <v>2.78</v>
      </c>
    </row>
    <row r="44" ht="15.75" customHeight="1">
      <c r="I44" s="13" t="s">
        <v>112</v>
      </c>
      <c r="J44" s="8">
        <v>4.02</v>
      </c>
    </row>
    <row r="45" ht="15.75" customHeight="1">
      <c r="I45" s="13" t="s">
        <v>113</v>
      </c>
      <c r="J45" s="8">
        <v>4.3</v>
      </c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H1"/>
    <mergeCell ref="A2:H2"/>
  </mergeCells>
  <printOptions/>
  <pageMargins bottom="0.75" footer="0.0" header="0.0" left="0.7" right="0.7" top="0.75"/>
  <pageSetup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43"/>
    <col customWidth="1" min="2" max="2" width="17.0"/>
    <col customWidth="1" min="3" max="3" width="13.86"/>
    <col customWidth="1" min="4" max="4" width="8.71"/>
    <col customWidth="1" min="5" max="5" width="13.0"/>
    <col customWidth="1" min="6" max="6" width="17.29"/>
    <col customWidth="1" min="7" max="7" width="12.43"/>
    <col customWidth="1" min="8" max="8" width="17.0"/>
    <col customWidth="1" min="9" max="9" width="17.57"/>
    <col customWidth="1" min="10" max="26" width="8.71"/>
  </cols>
  <sheetData>
    <row r="1">
      <c r="A1" s="1" t="s">
        <v>0</v>
      </c>
    </row>
    <row r="2">
      <c r="A2" s="2" t="s">
        <v>127</v>
      </c>
    </row>
    <row r="3">
      <c r="B3" s="4" t="s">
        <v>2</v>
      </c>
      <c r="C3" s="1" t="s">
        <v>3</v>
      </c>
      <c r="F3" s="4" t="s">
        <v>2</v>
      </c>
      <c r="G3" s="1" t="s">
        <v>3</v>
      </c>
      <c r="I3" s="9" t="s">
        <v>128</v>
      </c>
    </row>
    <row r="4">
      <c r="A4" s="5" t="s">
        <v>4</v>
      </c>
      <c r="B4" s="38">
        <v>2.64</v>
      </c>
      <c r="C4" s="7">
        <v>1.0</v>
      </c>
      <c r="E4" s="5" t="s">
        <v>5</v>
      </c>
      <c r="F4" s="16">
        <f>(11.82+10.4+8.92+15.11)/4</f>
        <v>11.5625</v>
      </c>
      <c r="G4" s="7">
        <v>4.0</v>
      </c>
      <c r="I4" s="13" t="s">
        <v>9</v>
      </c>
      <c r="J4" s="8">
        <v>3.53</v>
      </c>
    </row>
    <row r="5">
      <c r="A5" s="5" t="s">
        <v>7</v>
      </c>
      <c r="B5" s="42">
        <f>(2.62+6.21+2.95+3.07+6.72+4.49+2.95+4.84+3.89+1.96+5.04+4.66+3.62+3.86+4.71+4.76+4.23+7.46+5.72+6.48+13.15+8.35+7.72+6.64+9.05+2.98+5.37+4.69+10.78+7.73+4.92+5.77+3.75+7.13+3.88+6.21+3.44+7.63+7.01+3.21+4.14+7.61+4.7+6+1.56)/45</f>
        <v>5.414666667</v>
      </c>
      <c r="C5" s="43">
        <v>45.0</v>
      </c>
      <c r="E5" s="5" t="s">
        <v>8</v>
      </c>
      <c r="F5" s="42">
        <f>(3.75+3.65+4.13+6.06+4.48+4)/6</f>
        <v>4.345</v>
      </c>
      <c r="G5" s="43">
        <v>6.0</v>
      </c>
      <c r="I5" s="13" t="s">
        <v>12</v>
      </c>
      <c r="J5" s="8">
        <v>3.47</v>
      </c>
    </row>
    <row r="6">
      <c r="A6" s="5" t="s">
        <v>10</v>
      </c>
      <c r="B6" s="44">
        <v>16.97</v>
      </c>
      <c r="C6" s="43">
        <v>1.0</v>
      </c>
      <c r="E6" s="5" t="s">
        <v>11</v>
      </c>
      <c r="F6" s="42">
        <f>(5.79+7.28+6.5+7.11+8.42+9.1+7.99+5.78+5.07+6.64+6.48+8.12+8.49+7.1)/14</f>
        <v>7.133571429</v>
      </c>
      <c r="G6" s="43">
        <v>14.0</v>
      </c>
      <c r="I6" s="13" t="s">
        <v>16</v>
      </c>
      <c r="J6" s="8">
        <v>4.1</v>
      </c>
    </row>
    <row r="7">
      <c r="A7" s="5" t="s">
        <v>13</v>
      </c>
      <c r="B7" s="38" t="s">
        <v>14</v>
      </c>
      <c r="C7" s="7">
        <v>0.0</v>
      </c>
      <c r="E7" s="5" t="s">
        <v>15</v>
      </c>
      <c r="F7" s="6">
        <v>4.66</v>
      </c>
      <c r="G7" s="7">
        <v>1.0</v>
      </c>
      <c r="I7" s="13" t="s">
        <v>19</v>
      </c>
      <c r="J7" s="8">
        <v>3.76</v>
      </c>
    </row>
    <row r="8">
      <c r="A8" s="5" t="s">
        <v>17</v>
      </c>
      <c r="B8" s="39">
        <f>(7.5+4.05+8.42+1.13+6.79+6.69)/6</f>
        <v>5.763333333</v>
      </c>
      <c r="C8" s="7">
        <v>6.0</v>
      </c>
      <c r="E8" s="5" t="s">
        <v>18</v>
      </c>
      <c r="F8" s="16">
        <f>(11.8+12.68+10.71+10.78+9.39+11.16+10.11+9.32)/8</f>
        <v>10.74375</v>
      </c>
      <c r="G8" s="7">
        <v>8.0</v>
      </c>
      <c r="I8" s="13" t="s">
        <v>22</v>
      </c>
      <c r="J8" s="8">
        <v>4.62</v>
      </c>
    </row>
    <row r="9">
      <c r="A9" s="5" t="s">
        <v>20</v>
      </c>
      <c r="B9" s="45" t="s">
        <v>14</v>
      </c>
      <c r="C9" s="43">
        <v>0.0</v>
      </c>
      <c r="E9" s="5" t="s">
        <v>21</v>
      </c>
      <c r="F9" s="42">
        <f>(9.89+10.62+11.31+15.4)/4</f>
        <v>11.805</v>
      </c>
      <c r="G9" s="43">
        <v>4.0</v>
      </c>
      <c r="I9" s="13" t="s">
        <v>25</v>
      </c>
      <c r="J9" s="8">
        <v>3.73</v>
      </c>
    </row>
    <row r="10">
      <c r="A10" s="5" t="s">
        <v>23</v>
      </c>
      <c r="B10" s="42">
        <f>(8.77+5.54+6.67+4.84+5.59)/5</f>
        <v>6.282</v>
      </c>
      <c r="C10" s="43">
        <v>5.0</v>
      </c>
      <c r="E10" s="5" t="s">
        <v>24</v>
      </c>
      <c r="F10" s="42">
        <f>(3.21+9.42+8.48+12.28+6.1)/5</f>
        <v>7.898</v>
      </c>
      <c r="G10" s="43">
        <v>5.0</v>
      </c>
      <c r="I10" s="13" t="s">
        <v>28</v>
      </c>
      <c r="J10" s="8">
        <v>4.09</v>
      </c>
    </row>
    <row r="11">
      <c r="A11" s="5" t="s">
        <v>26</v>
      </c>
      <c r="B11" s="38">
        <f>(5.11+4.03+1.57)/3</f>
        <v>3.57</v>
      </c>
      <c r="C11" s="7">
        <v>3.0</v>
      </c>
      <c r="E11" s="5" t="s">
        <v>27</v>
      </c>
      <c r="F11" s="16">
        <f>(4.23+7.29+5.38+2.15+5.34+5.25+7.14+1.35)/8</f>
        <v>4.76625</v>
      </c>
      <c r="G11" s="7">
        <v>8.0</v>
      </c>
      <c r="I11" s="13" t="s">
        <v>31</v>
      </c>
      <c r="J11" s="8">
        <v>5.82</v>
      </c>
    </row>
    <row r="12">
      <c r="A12" s="5" t="s">
        <v>29</v>
      </c>
      <c r="B12" s="38" t="s">
        <v>14</v>
      </c>
      <c r="C12" s="7">
        <v>0.0</v>
      </c>
      <c r="E12" s="5" t="s">
        <v>30</v>
      </c>
      <c r="F12" s="6" t="s">
        <v>14</v>
      </c>
      <c r="G12" s="7">
        <v>0.0</v>
      </c>
      <c r="I12" s="13" t="s">
        <v>34</v>
      </c>
      <c r="J12" s="8">
        <v>3.85</v>
      </c>
    </row>
    <row r="13">
      <c r="A13" s="5" t="s">
        <v>32</v>
      </c>
      <c r="B13" s="45">
        <v>4.75</v>
      </c>
      <c r="C13" s="43">
        <v>1.0</v>
      </c>
      <c r="E13" s="5" t="s">
        <v>33</v>
      </c>
      <c r="F13" s="45" t="s">
        <v>14</v>
      </c>
      <c r="G13" s="43">
        <v>0.0</v>
      </c>
      <c r="I13" s="13" t="s">
        <v>37</v>
      </c>
      <c r="J13" s="8">
        <v>2.22</v>
      </c>
    </row>
    <row r="14">
      <c r="A14" s="5" t="s">
        <v>35</v>
      </c>
      <c r="B14" s="45">
        <v>6.36</v>
      </c>
      <c r="C14" s="43">
        <v>1.0</v>
      </c>
      <c r="E14" s="5" t="s">
        <v>36</v>
      </c>
      <c r="F14" s="44">
        <f>(4.84+3.36+3.35+5.13+1.82+3.69+3.52+1.5+2.68+3.58+5.41+4.81+3.54+6.58+2.98+3.19+4.25+3.81+4.39+3.84+3.32+4.99+5.58+5.51+3.43+4.65+2.67+1.35+3.81+4.81)/30</f>
        <v>3.879666667</v>
      </c>
      <c r="G14" s="43">
        <v>30.0</v>
      </c>
      <c r="I14" s="13" t="s">
        <v>40</v>
      </c>
      <c r="J14" s="8">
        <v>4.38</v>
      </c>
    </row>
    <row r="15">
      <c r="A15" s="5" t="s">
        <v>38</v>
      </c>
      <c r="B15" s="38">
        <v>4.51</v>
      </c>
      <c r="C15" s="7">
        <v>1.0</v>
      </c>
      <c r="E15" s="5" t="s">
        <v>39</v>
      </c>
      <c r="F15" s="6" t="s">
        <v>14</v>
      </c>
      <c r="G15" s="7">
        <v>0.0</v>
      </c>
      <c r="I15" s="13" t="s">
        <v>43</v>
      </c>
      <c r="J15" s="8">
        <v>3.96</v>
      </c>
    </row>
    <row r="16">
      <c r="A16" s="5" t="s">
        <v>41</v>
      </c>
      <c r="B16" s="39">
        <f>(3.91+6.72+4.7)/3</f>
        <v>5.11</v>
      </c>
      <c r="C16" s="7">
        <v>3.0</v>
      </c>
      <c r="E16" s="5" t="s">
        <v>42</v>
      </c>
      <c r="F16" s="6">
        <v>7.6</v>
      </c>
      <c r="G16" s="7">
        <v>1.0</v>
      </c>
      <c r="I16" s="13" t="s">
        <v>46</v>
      </c>
      <c r="J16" s="8">
        <v>3.57</v>
      </c>
    </row>
    <row r="17">
      <c r="A17" s="5" t="s">
        <v>44</v>
      </c>
      <c r="B17" s="45">
        <v>7.71</v>
      </c>
      <c r="C17" s="43">
        <v>1.0</v>
      </c>
      <c r="E17" s="5" t="s">
        <v>45</v>
      </c>
      <c r="F17" s="42">
        <f>(3.67+3.3+2.86+2.42+2.52+3.66+2.83+5.6+2.49+2.89)/10</f>
        <v>3.224</v>
      </c>
      <c r="G17" s="43">
        <v>10.0</v>
      </c>
      <c r="I17" s="13" t="s">
        <v>49</v>
      </c>
      <c r="J17" s="8">
        <v>3.5</v>
      </c>
    </row>
    <row r="18">
      <c r="A18" s="5" t="s">
        <v>47</v>
      </c>
      <c r="B18" s="45" t="s">
        <v>14</v>
      </c>
      <c r="C18" s="43">
        <v>0.0</v>
      </c>
      <c r="E18" s="5" t="s">
        <v>48</v>
      </c>
      <c r="F18" s="42">
        <f>(7.49+5.22+6.34+4.25+6.08+5.81+4.5+7.14+4.54+9.26+5.32+7.77+13.06+6.31+5.19+4.16+7+6.12+5.66+4.41+4.5+5.58+4.12+4.75+4.08+4.78)/26</f>
        <v>5.901538462</v>
      </c>
      <c r="G18" s="43">
        <v>26.0</v>
      </c>
      <c r="I18" s="13" t="s">
        <v>52</v>
      </c>
      <c r="J18" s="8">
        <v>5.38</v>
      </c>
    </row>
    <row r="19">
      <c r="A19" s="5" t="s">
        <v>50</v>
      </c>
      <c r="B19" s="38" t="s">
        <v>14</v>
      </c>
      <c r="C19" s="7">
        <v>0.0</v>
      </c>
      <c r="E19" s="5" t="s">
        <v>51</v>
      </c>
      <c r="F19" s="16">
        <f>(4.25+4.35+3.96+4.23)/4</f>
        <v>4.1975</v>
      </c>
      <c r="G19" s="7">
        <v>4.0</v>
      </c>
      <c r="I19" s="13" t="s">
        <v>55</v>
      </c>
      <c r="J19" s="8">
        <v>4.12</v>
      </c>
    </row>
    <row r="20">
      <c r="A20" s="5" t="s">
        <v>53</v>
      </c>
      <c r="B20" s="39">
        <f>(10.18+11.42+11.28+10.98)/4</f>
        <v>10.965</v>
      </c>
      <c r="C20" s="7">
        <v>4.0</v>
      </c>
      <c r="E20" s="5" t="s">
        <v>54</v>
      </c>
      <c r="F20" s="16">
        <f>(9.67+7.85+9.28+7.16)/4</f>
        <v>8.49</v>
      </c>
      <c r="G20" s="7">
        <v>4.0</v>
      </c>
      <c r="I20" s="13" t="s">
        <v>58</v>
      </c>
      <c r="J20" s="8">
        <v>3.62</v>
      </c>
    </row>
    <row r="21" ht="15.75" customHeight="1">
      <c r="A21" s="5" t="s">
        <v>56</v>
      </c>
      <c r="B21" s="45" t="s">
        <v>14</v>
      </c>
      <c r="C21" s="43">
        <v>0.0</v>
      </c>
      <c r="E21" s="5" t="s">
        <v>57</v>
      </c>
      <c r="F21" s="42">
        <f>(6.01+4.21+5.04+5.33+4.86+4.8+8.79+7.08+5.86+4.79)/10</f>
        <v>5.677</v>
      </c>
      <c r="G21" s="43">
        <v>10.0</v>
      </c>
      <c r="I21" s="13" t="s">
        <v>61</v>
      </c>
      <c r="J21" s="8">
        <v>4.31</v>
      </c>
    </row>
    <row r="22" ht="15.75" customHeight="1">
      <c r="A22" s="5" t="s">
        <v>59</v>
      </c>
      <c r="B22" s="45" t="s">
        <v>14</v>
      </c>
      <c r="C22" s="43">
        <v>0.0</v>
      </c>
      <c r="E22" s="5" t="s">
        <v>60</v>
      </c>
      <c r="F22" s="45" t="s">
        <v>14</v>
      </c>
      <c r="G22" s="43">
        <v>0.0</v>
      </c>
      <c r="I22" s="13" t="s">
        <v>64</v>
      </c>
      <c r="J22" s="8">
        <v>3.36</v>
      </c>
    </row>
    <row r="23" ht="15.75" customHeight="1">
      <c r="A23" s="5" t="s">
        <v>62</v>
      </c>
      <c r="B23" s="38">
        <v>2.65</v>
      </c>
      <c r="C23" s="7">
        <v>1.0</v>
      </c>
      <c r="E23" s="5" t="s">
        <v>63</v>
      </c>
      <c r="F23" s="6" t="s">
        <v>14</v>
      </c>
      <c r="G23" s="7">
        <v>0.0</v>
      </c>
      <c r="I23" s="13" t="s">
        <v>67</v>
      </c>
      <c r="J23" s="8">
        <v>4.25</v>
      </c>
    </row>
    <row r="24" ht="15.75" customHeight="1">
      <c r="A24" s="5" t="s">
        <v>65</v>
      </c>
      <c r="B24" s="38" t="s">
        <v>14</v>
      </c>
      <c r="C24" s="7">
        <v>0.0</v>
      </c>
      <c r="E24" s="5" t="s">
        <v>66</v>
      </c>
      <c r="F24" s="6" t="s">
        <v>14</v>
      </c>
      <c r="G24" s="7">
        <v>0.0</v>
      </c>
      <c r="I24" s="13" t="s">
        <v>70</v>
      </c>
      <c r="J24" s="8">
        <v>4.17</v>
      </c>
    </row>
    <row r="25" ht="15.75" customHeight="1">
      <c r="A25" s="5" t="s">
        <v>68</v>
      </c>
      <c r="B25" s="42">
        <f>(0.23+8.72+10.28+5.99)/4</f>
        <v>6.305</v>
      </c>
      <c r="C25" s="43">
        <v>4.0</v>
      </c>
      <c r="E25" s="5" t="s">
        <v>69</v>
      </c>
      <c r="F25" s="42">
        <f>(8.01+4.9)/2</f>
        <v>6.455</v>
      </c>
      <c r="G25" s="43">
        <v>2.0</v>
      </c>
      <c r="I25" s="13" t="s">
        <v>73</v>
      </c>
      <c r="J25" s="8">
        <v>4.33</v>
      </c>
    </row>
    <row r="26" ht="15.75" customHeight="1">
      <c r="A26" s="5" t="s">
        <v>71</v>
      </c>
      <c r="B26" s="45" t="s">
        <v>14</v>
      </c>
      <c r="C26" s="43">
        <v>0.0</v>
      </c>
      <c r="E26" s="5" t="s">
        <v>72</v>
      </c>
      <c r="F26" s="45">
        <v>16.47</v>
      </c>
      <c r="G26" s="43">
        <v>1.0</v>
      </c>
      <c r="I26" s="13" t="s">
        <v>76</v>
      </c>
      <c r="J26" s="8">
        <v>3.88</v>
      </c>
    </row>
    <row r="27" ht="15.75" customHeight="1">
      <c r="A27" s="5" t="s">
        <v>74</v>
      </c>
      <c r="B27" s="38">
        <v>10.19</v>
      </c>
      <c r="C27" s="7">
        <v>1.0</v>
      </c>
      <c r="E27" s="5" t="s">
        <v>75</v>
      </c>
      <c r="F27" s="16">
        <f>(5+4.7+2.82+4.18+5.33+4.84+5.99)/7</f>
        <v>4.694285714</v>
      </c>
      <c r="G27" s="7">
        <v>7.0</v>
      </c>
      <c r="I27" s="13" t="s">
        <v>79</v>
      </c>
      <c r="J27" s="8">
        <v>3.27</v>
      </c>
    </row>
    <row r="28" ht="15.75" customHeight="1">
      <c r="A28" s="5" t="s">
        <v>77</v>
      </c>
      <c r="B28" s="39">
        <f>(5.24+5.37+4.86+3.87+6.18+5.43)/6</f>
        <v>5.158333333</v>
      </c>
      <c r="C28" s="7">
        <v>6.0</v>
      </c>
      <c r="E28" s="5" t="s">
        <v>78</v>
      </c>
      <c r="F28" s="16">
        <f>(7+7.47+9.21+0.4+5.46+3.28+9.05+6.18+4.72+7.67+6.45+5.79+9.66+7.05+4.23+5.72+6.97)/17</f>
        <v>6.253529412</v>
      </c>
      <c r="G28" s="7">
        <v>17.0</v>
      </c>
      <c r="I28" s="13" t="s">
        <v>82</v>
      </c>
      <c r="J28" s="8">
        <v>3.31</v>
      </c>
    </row>
    <row r="29" ht="15.75" customHeight="1">
      <c r="A29" s="5" t="s">
        <v>80</v>
      </c>
      <c r="B29" s="42">
        <f>(5.68+6.93+7.55)/3</f>
        <v>6.72</v>
      </c>
      <c r="C29" s="43">
        <v>3.0</v>
      </c>
      <c r="E29" s="5" t="s">
        <v>81</v>
      </c>
      <c r="F29" s="45" t="s">
        <v>14</v>
      </c>
      <c r="G29" s="43">
        <v>0.0</v>
      </c>
      <c r="I29" s="13" t="s">
        <v>85</v>
      </c>
      <c r="J29" s="8">
        <v>4.26</v>
      </c>
    </row>
    <row r="30" ht="15.75" customHeight="1">
      <c r="A30" s="5" t="s">
        <v>83</v>
      </c>
      <c r="B30" s="42">
        <f>(5.56+5.2)/2</f>
        <v>5.38</v>
      </c>
      <c r="C30" s="43">
        <v>2.0</v>
      </c>
      <c r="E30" s="5" t="s">
        <v>84</v>
      </c>
      <c r="F30" s="45">
        <v>6.62</v>
      </c>
      <c r="G30" s="43">
        <v>1.0</v>
      </c>
      <c r="I30" s="13" t="s">
        <v>88</v>
      </c>
      <c r="J30" s="8">
        <v>3.71</v>
      </c>
    </row>
    <row r="31" ht="15.75" customHeight="1">
      <c r="A31" s="5" t="s">
        <v>86</v>
      </c>
      <c r="B31" s="39">
        <f>(3.02+4.15)/2</f>
        <v>3.585</v>
      </c>
      <c r="C31" s="7">
        <v>2.0</v>
      </c>
      <c r="E31" s="5" t="s">
        <v>87</v>
      </c>
      <c r="F31" s="6">
        <v>7.94</v>
      </c>
      <c r="G31" s="7">
        <v>1.0</v>
      </c>
      <c r="I31" s="13" t="s">
        <v>90</v>
      </c>
      <c r="J31" s="8">
        <v>3.24</v>
      </c>
    </row>
    <row r="32" ht="15.75" customHeight="1">
      <c r="A32" s="5" t="s">
        <v>64</v>
      </c>
      <c r="B32" s="38">
        <v>7.59</v>
      </c>
      <c r="C32" s="7">
        <v>1.0</v>
      </c>
      <c r="E32" s="5" t="s">
        <v>89</v>
      </c>
      <c r="F32" s="16">
        <f>(6.8+4.98+3.75+5.6+7.25)/5</f>
        <v>5.676</v>
      </c>
      <c r="G32" s="7">
        <v>5.0</v>
      </c>
      <c r="I32" s="13" t="s">
        <v>93</v>
      </c>
      <c r="J32" s="8">
        <v>4.05</v>
      </c>
    </row>
    <row r="33" ht="15.75" customHeight="1">
      <c r="A33" s="5" t="s">
        <v>91</v>
      </c>
      <c r="B33" s="45" t="s">
        <v>14</v>
      </c>
      <c r="C33" s="43">
        <v>0.0</v>
      </c>
      <c r="E33" s="5" t="s">
        <v>92</v>
      </c>
      <c r="F33" s="42">
        <f>(10.34+9.22+9.23)/3</f>
        <v>9.596666667</v>
      </c>
      <c r="G33" s="43">
        <v>3.0</v>
      </c>
      <c r="I33" s="13" t="s">
        <v>96</v>
      </c>
      <c r="J33" s="8">
        <v>3.64</v>
      </c>
    </row>
    <row r="34" ht="15.75" customHeight="1">
      <c r="A34" s="5" t="s">
        <v>94</v>
      </c>
      <c r="B34" s="45">
        <v>7.2</v>
      </c>
      <c r="C34" s="43">
        <v>1.0</v>
      </c>
      <c r="E34" s="5" t="s">
        <v>95</v>
      </c>
      <c r="F34" s="45">
        <v>6.1</v>
      </c>
      <c r="G34" s="43">
        <v>1.0</v>
      </c>
      <c r="I34" s="13" t="s">
        <v>99</v>
      </c>
      <c r="J34" s="8">
        <v>3.86</v>
      </c>
    </row>
    <row r="35" ht="15.75" customHeight="1">
      <c r="A35" s="5" t="s">
        <v>97</v>
      </c>
      <c r="B35" s="38" t="s">
        <v>14</v>
      </c>
      <c r="C35" s="7">
        <v>0.0</v>
      </c>
      <c r="E35" s="5" t="s">
        <v>98</v>
      </c>
      <c r="F35" s="16">
        <f>(6.79+6.74)/2</f>
        <v>6.765</v>
      </c>
      <c r="G35" s="7">
        <v>2.0</v>
      </c>
      <c r="I35" s="13" t="s">
        <v>102</v>
      </c>
      <c r="J35" s="8">
        <v>3.61</v>
      </c>
    </row>
    <row r="36" ht="15.75" customHeight="1">
      <c r="A36" s="5" t="s">
        <v>100</v>
      </c>
      <c r="B36" s="38" t="s">
        <v>14</v>
      </c>
      <c r="C36" s="7">
        <v>0.0</v>
      </c>
      <c r="E36" s="5" t="s">
        <v>101</v>
      </c>
      <c r="F36" s="16">
        <f>(14.69+8.75+9.8+8.76)/4</f>
        <v>10.5</v>
      </c>
      <c r="G36" s="7">
        <v>4.0</v>
      </c>
      <c r="I36" s="13" t="s">
        <v>104</v>
      </c>
      <c r="J36" s="8">
        <v>3.34</v>
      </c>
    </row>
    <row r="37" ht="15.75" customHeight="1">
      <c r="A37" s="5" t="s">
        <v>103</v>
      </c>
      <c r="B37" s="45" t="s">
        <v>14</v>
      </c>
      <c r="C37" s="43">
        <v>0.0</v>
      </c>
      <c r="I37" s="13" t="s">
        <v>105</v>
      </c>
      <c r="J37" s="8">
        <v>4.05</v>
      </c>
    </row>
    <row r="38" ht="15.75" customHeight="1">
      <c r="I38" s="13" t="s">
        <v>106</v>
      </c>
      <c r="J38" s="8">
        <v>3.79</v>
      </c>
    </row>
    <row r="39" ht="15.75" customHeight="1">
      <c r="I39" s="13" t="s">
        <v>107</v>
      </c>
      <c r="J39" s="8">
        <v>3.96</v>
      </c>
    </row>
    <row r="40" ht="15.75" customHeight="1">
      <c r="I40" s="13" t="s">
        <v>108</v>
      </c>
      <c r="J40" s="8">
        <v>3.47</v>
      </c>
    </row>
    <row r="41" ht="15.75" customHeight="1">
      <c r="I41" s="13" t="s">
        <v>109</v>
      </c>
      <c r="J41" s="8">
        <v>4.12</v>
      </c>
    </row>
    <row r="42" ht="15.75" customHeight="1">
      <c r="I42" s="13" t="s">
        <v>110</v>
      </c>
      <c r="J42" s="8">
        <v>3.52</v>
      </c>
    </row>
    <row r="43" ht="15.75" customHeight="1">
      <c r="I43" s="13" t="s">
        <v>111</v>
      </c>
      <c r="J43" s="8">
        <v>3.46</v>
      </c>
    </row>
    <row r="44" ht="15.75" customHeight="1">
      <c r="I44" s="13" t="s">
        <v>112</v>
      </c>
      <c r="J44" s="8">
        <v>3.55</v>
      </c>
    </row>
    <row r="45" ht="15.75" customHeight="1">
      <c r="I45" s="13" t="s">
        <v>113</v>
      </c>
      <c r="J45" s="8">
        <v>3.37</v>
      </c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H1"/>
    <mergeCell ref="A2:H2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2015-02-02T17:41:55Z</dcterms:created>
  <dc:creator>Whitney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e24fda99-2632-46da-8236-cfc975c5a77b</vt:lpwstr>
  </property>
</Properties>
</file>